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<sst xmlns="http://schemas.openxmlformats.org/spreadsheetml/2006/main" count="31" uniqueCount="24">
  <si>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</si>
  <si>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</si>
  <si>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</si>
  <si>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</si>
  <si>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</si>
  <si>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</si>
  <si>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</si>
  <si>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</si>
  <si>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</si>
  <si>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</si>
  <si>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</si>
  <si>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</si>
  <si>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</si>
  <si>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</si>
  <si>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</si>
  <si>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</si>
  <si>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</si>
  <si>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>Núcleo de Engenharia de Água e Solo</t>
  </si>
  <si>
    <t xml:space="preserve">       Observações:</t>
  </si>
  <si>
    <t xml:space="preserve">Dados Meteorológicos Diários de Estação Automática </t>
  </si>
  <si>
    <t>Janeiro de 2011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</si>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</sst>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22" fontId="4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showGridLines="0" tabSelected="1" zoomScalePageLayoutView="0" workbookViewId="0" topLeftCell="A1">
      <selection activeCell="N10" sqref="N10"/>
    </sheetView>
  </sheetViews>
  <sheetFormatPr defaultColWidth="9.140625" defaultRowHeight="15"/>
  <cols>
    <col min="1" max="1" width="18.7109375" style="7" customWidth="1"/>
    <col min="2" max="4" width="12.7109375" style="7" customWidth="1"/>
    <col min="5" max="5" width="11.00390625" style="7" customWidth="1"/>
    <col min="6" max="8" width="6.7109375" style="7" customWidth="1"/>
    <col min="9" max="11" width="12.7109375" style="7" customWidth="1"/>
  </cols>
  <sheetData>
    <row r="1" spans="1:11" ht="21">
      <c r="A1" s="9" t="s">
        <v>19</v>
      </c>
      <c r="B1" s="10"/>
      <c r="C1" s="11"/>
      <c r="D1" s="11"/>
      <c r="E1" s="11"/>
      <c r="F1" s="11"/>
      <c r="G1" s="12" t="s">
        <v>20</v>
      </c>
      <c r="H1" s="11"/>
      <c r="I1" s="11"/>
      <c r="J1" s="11"/>
      <c r="K1" s="11"/>
    </row>
    <row r="2" spans="1:11" ht="21">
      <c r="A2" s="9" t="s">
        <v>14</v>
      </c>
      <c r="B2" s="10"/>
      <c r="C2" s="11"/>
      <c r="D2" s="11"/>
      <c r="E2" s="11"/>
      <c r="F2" s="11"/>
      <c r="G2" s="12" t="s">
        <v>17</v>
      </c>
      <c r="H2" s="11"/>
      <c r="I2" s="11"/>
      <c r="J2" s="11"/>
      <c r="K2" s="11"/>
    </row>
    <row r="3" spans="1:14" ht="15" customHeight="1">
      <c r="A3" s="20" t="s">
        <v>8</v>
      </c>
      <c r="B3" s="4" t="s">
        <v>9</v>
      </c>
      <c r="C3" s="1" t="s">
        <v>10</v>
      </c>
      <c r="D3" s="16" t="s">
        <v>11</v>
      </c>
      <c r="E3" s="17"/>
      <c r="F3" s="16" t="s">
        <v>13</v>
      </c>
      <c r="G3" s="22"/>
      <c r="H3" s="17"/>
      <c r="I3" s="1" t="s">
        <v>16</v>
      </c>
      <c r="J3" s="16" t="s">
        <v>15</v>
      </c>
      <c r="K3" s="17"/>
      <c r="M3" s="14" t="s">
        <v>18</v>
      </c>
      <c r="N3" s="13"/>
    </row>
    <row r="4" spans="1:13" ht="15">
      <c r="A4" s="21"/>
      <c r="B4" s="2" t="s">
        <v>0</v>
      </c>
      <c r="C4" s="2" t="s">
        <v>1</v>
      </c>
      <c r="D4" s="18" t="s">
        <v>12</v>
      </c>
      <c r="E4" s="19"/>
      <c r="F4" s="18" t="s">
        <v>2</v>
      </c>
      <c r="G4" s="23"/>
      <c r="H4" s="19"/>
      <c r="I4" s="2" t="s">
        <v>3</v>
      </c>
      <c r="J4" s="18" t="s">
        <v>2</v>
      </c>
      <c r="K4" s="19"/>
      <c r="M4" s="15" t="s">
        <v>21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22</v>
      </c>
    </row>
    <row r="6" spans="1:13" ht="15">
      <c r="A6" s="24">
        <v>40544</v>
      </c>
      <c r="B6" s="25">
        <f>6200000/100000</f>
        <v>62</v>
      </c>
      <c r="C6" s="25">
        <f aca="true" t="shared" si="0" ref="C6:C16">0/100000</f>
        <v>0</v>
      </c>
      <c r="D6" s="25">
        <f>123000/100000</f>
        <v>1.23</v>
      </c>
      <c r="E6" s="25">
        <f>410000/100000</f>
        <v>4.1</v>
      </c>
      <c r="F6" s="25">
        <f>2612000/100000</f>
        <v>26.12</v>
      </c>
      <c r="G6" s="25">
        <f>2202000/100000</f>
        <v>22.02</v>
      </c>
      <c r="H6" s="25">
        <f>3139000/100000</f>
        <v>31.39</v>
      </c>
      <c r="I6" s="25">
        <f>7400000/100000</f>
        <v>74</v>
      </c>
      <c r="J6" s="25">
        <f>2044000/100000</f>
        <v>20.44</v>
      </c>
      <c r="K6" s="25">
        <f>1720000/100000</f>
        <v>17.2</v>
      </c>
      <c r="M6" t="s">
        <v>23</v>
      </c>
    </row>
    <row r="7" spans="1:11" ht="15">
      <c r="A7" s="24">
        <v>40545</v>
      </c>
      <c r="B7" s="25">
        <f>6900000/100000</f>
        <v>69</v>
      </c>
      <c r="C7" s="25">
        <f t="shared" si="0"/>
        <v>0</v>
      </c>
      <c r="D7" s="25">
        <f>126000/100000</f>
        <v>1.26</v>
      </c>
      <c r="E7" s="25">
        <f>410000/100000</f>
        <v>4.1</v>
      </c>
      <c r="F7" s="25">
        <f>2616000/100000</f>
        <v>26.16</v>
      </c>
      <c r="G7" s="25">
        <f>2178000/100000</f>
        <v>21.78</v>
      </c>
      <c r="H7" s="25">
        <f>3294000/100000</f>
        <v>32.94</v>
      </c>
      <c r="I7" s="25">
        <f>7500000/100000</f>
        <v>75</v>
      </c>
      <c r="J7" s="25">
        <f>2067000/100000</f>
        <v>20.67</v>
      </c>
      <c r="K7" s="25">
        <f>1600000/100000</f>
        <v>16</v>
      </c>
    </row>
    <row r="8" spans="1:11" ht="15">
      <c r="A8" s="24">
        <v>40546</v>
      </c>
      <c r="B8" s="25">
        <f>5900000/100000</f>
        <v>59</v>
      </c>
      <c r="C8" s="25">
        <f t="shared" si="0"/>
        <v>0</v>
      </c>
      <c r="D8" s="25">
        <f>137000/100000</f>
        <v>1.37</v>
      </c>
      <c r="E8" s="25">
        <f>440000/100000</f>
        <v>4.4</v>
      </c>
      <c r="F8" s="25">
        <f>2638000/100000</f>
        <v>26.38</v>
      </c>
      <c r="G8" s="25">
        <f>2234000/100000</f>
        <v>22.34</v>
      </c>
      <c r="H8" s="25">
        <f>3294000/100000</f>
        <v>32.94</v>
      </c>
      <c r="I8" s="25">
        <f>7800000/100000</f>
        <v>78</v>
      </c>
      <c r="J8" s="25">
        <f>2146000/100000</f>
        <v>21.46</v>
      </c>
      <c r="K8" s="25">
        <f>1840000/100000</f>
        <v>18.4</v>
      </c>
    </row>
    <row r="9" spans="1:11" ht="15">
      <c r="A9" s="24">
        <v>40547</v>
      </c>
      <c r="B9" s="25">
        <f>7100000/100000</f>
        <v>71</v>
      </c>
      <c r="C9" s="25">
        <f t="shared" si="0"/>
        <v>0</v>
      </c>
      <c r="D9" s="25">
        <f>160000/100000</f>
        <v>1.6</v>
      </c>
      <c r="E9" s="25">
        <f>440000/100000</f>
        <v>4.4</v>
      </c>
      <c r="F9" s="25">
        <f>2661000/100000</f>
        <v>26.61</v>
      </c>
      <c r="G9" s="25">
        <f>2303000/100000</f>
        <v>23.03</v>
      </c>
      <c r="H9" s="25">
        <f>3341000/100000</f>
        <v>33.41</v>
      </c>
      <c r="I9" s="25">
        <f>7900000/100000</f>
        <v>79</v>
      </c>
      <c r="J9" s="25">
        <f>2216000/100000</f>
        <v>22.16</v>
      </c>
      <c r="K9" s="25">
        <f>2050000/100000</f>
        <v>20.5</v>
      </c>
    </row>
    <row r="10" spans="1:11" ht="15">
      <c r="A10" s="24">
        <v>40548</v>
      </c>
      <c r="B10" s="25">
        <f>5900000/100000</f>
        <v>59</v>
      </c>
      <c r="C10" s="25">
        <f t="shared" si="0"/>
        <v>0</v>
      </c>
      <c r="D10" s="25">
        <f>152000/100000</f>
        <v>1.52</v>
      </c>
      <c r="E10" s="25">
        <f>400000/100000</f>
        <v>4</v>
      </c>
      <c r="F10" s="25">
        <f>2543000/100000</f>
        <v>25.43</v>
      </c>
      <c r="G10" s="25">
        <f>2238000/100000</f>
        <v>22.38</v>
      </c>
      <c r="H10" s="25">
        <f>3129000/100000</f>
        <v>31.29</v>
      </c>
      <c r="I10" s="25">
        <f>8300000/100000</f>
        <v>83</v>
      </c>
      <c r="J10" s="25">
        <f>2180000/100000</f>
        <v>21.8</v>
      </c>
      <c r="K10" s="25">
        <f>1880000/100000</f>
        <v>18.8</v>
      </c>
    </row>
    <row r="11" spans="1:11" ht="15">
      <c r="A11" s="24">
        <v>40549</v>
      </c>
      <c r="B11" s="25">
        <f>6700000/100000</f>
        <v>67</v>
      </c>
      <c r="C11" s="25">
        <f t="shared" si="0"/>
        <v>0</v>
      </c>
      <c r="D11" s="25">
        <f>138000/100000</f>
        <v>1.38</v>
      </c>
      <c r="E11" s="25">
        <f>440000/100000</f>
        <v>4.4</v>
      </c>
      <c r="F11" s="25">
        <f>2488000/100000</f>
        <v>24.88</v>
      </c>
      <c r="G11" s="25">
        <f>2185000/100000</f>
        <v>21.85</v>
      </c>
      <c r="H11" s="25">
        <f>3046000/100000</f>
        <v>30.46</v>
      </c>
      <c r="I11" s="25">
        <f>8200000/100000</f>
        <v>82</v>
      </c>
      <c r="J11" s="25">
        <f>2109000/100000</f>
        <v>21.09</v>
      </c>
      <c r="K11" s="25">
        <f>1750000/100000</f>
        <v>17.5</v>
      </c>
    </row>
    <row r="12" spans="1:11" ht="15">
      <c r="A12" s="24">
        <v>40550</v>
      </c>
      <c r="B12" s="25">
        <f>5900000/100000</f>
        <v>59</v>
      </c>
      <c r="C12" s="25">
        <f t="shared" si="0"/>
        <v>0</v>
      </c>
      <c r="D12" s="25">
        <f>166000/100000</f>
        <v>1.66</v>
      </c>
      <c r="E12" s="25">
        <f>410000/100000</f>
        <v>4.1</v>
      </c>
      <c r="F12" s="25">
        <f>2470000/100000</f>
        <v>24.7</v>
      </c>
      <c r="G12" s="25">
        <f>2125000/100000</f>
        <v>21.25</v>
      </c>
      <c r="H12" s="25">
        <f>3031000/100000</f>
        <v>30.31</v>
      </c>
      <c r="I12" s="25">
        <f>8300000/100000</f>
        <v>83</v>
      </c>
      <c r="J12" s="25">
        <f>2105000/100000</f>
        <v>21.05</v>
      </c>
      <c r="K12" s="25">
        <f>1960000/100000</f>
        <v>19.6</v>
      </c>
    </row>
    <row r="13" spans="1:11" ht="15">
      <c r="A13" s="24">
        <v>40551</v>
      </c>
      <c r="B13" s="25">
        <f>4900000/100000</f>
        <v>49</v>
      </c>
      <c r="C13" s="25">
        <f t="shared" si="0"/>
        <v>0</v>
      </c>
      <c r="D13" s="25">
        <f>63000/100000</f>
        <v>0.63</v>
      </c>
      <c r="E13" s="25">
        <f>430000/100000</f>
        <v>4.3</v>
      </c>
      <c r="F13" s="25">
        <f>2276000/100000</f>
        <v>22.76</v>
      </c>
      <c r="G13" s="25">
        <f>2140000/100000</f>
        <v>21.4</v>
      </c>
      <c r="H13" s="25">
        <f>2628000/100000</f>
        <v>26.28</v>
      </c>
      <c r="I13" s="25">
        <f>9600000/100000</f>
        <v>96</v>
      </c>
      <c r="J13" s="25">
        <f>2182000/100000</f>
        <v>21.82</v>
      </c>
      <c r="K13" s="25">
        <f>2070000/100000</f>
        <v>20.7</v>
      </c>
    </row>
    <row r="14" spans="1:11" ht="15">
      <c r="A14" s="24">
        <v>40552</v>
      </c>
      <c r="B14" s="25">
        <f>4300000/100000</f>
        <v>43</v>
      </c>
      <c r="C14" s="25">
        <f t="shared" si="0"/>
        <v>0</v>
      </c>
      <c r="D14" s="25">
        <f>101000/100000</f>
        <v>1.01</v>
      </c>
      <c r="E14" s="25">
        <f>360000/100000</f>
        <v>3.6</v>
      </c>
      <c r="F14" s="25">
        <f>2355000/100000</f>
        <v>23.55</v>
      </c>
      <c r="G14" s="25">
        <f>2114000/100000</f>
        <v>21.14</v>
      </c>
      <c r="H14" s="25">
        <f>2762000/100000</f>
        <v>27.62</v>
      </c>
      <c r="I14" s="25">
        <f>8900000/100000</f>
        <v>89</v>
      </c>
      <c r="J14" s="25">
        <f>2133000/100000</f>
        <v>21.33</v>
      </c>
      <c r="K14" s="25">
        <f>1890000/100000</f>
        <v>18.9</v>
      </c>
    </row>
    <row r="15" spans="1:11" ht="15">
      <c r="A15" s="24">
        <v>40553</v>
      </c>
      <c r="B15" s="25">
        <f>5600000/100000</f>
        <v>56</v>
      </c>
      <c r="C15" s="25">
        <f t="shared" si="0"/>
        <v>0</v>
      </c>
      <c r="D15" s="25">
        <f>68000/100000</f>
        <v>0.68</v>
      </c>
      <c r="E15" s="25">
        <f>380000/100000</f>
        <v>3.8</v>
      </c>
      <c r="F15" s="25">
        <f>2475000/100000</f>
        <v>24.75</v>
      </c>
      <c r="G15" s="25">
        <f>2028000/100000</f>
        <v>20.28</v>
      </c>
      <c r="H15" s="25">
        <f>3124000/100000</f>
        <v>31.24</v>
      </c>
      <c r="I15" s="25">
        <f>8200000/100000</f>
        <v>82</v>
      </c>
      <c r="J15" s="25">
        <f>2093000/100000</f>
        <v>20.93</v>
      </c>
      <c r="K15" s="25">
        <f>1820000/100000</f>
        <v>18.2</v>
      </c>
    </row>
    <row r="16" spans="1:11" ht="15">
      <c r="A16" s="24">
        <v>40554</v>
      </c>
      <c r="B16" s="25">
        <f>5700000/100000</f>
        <v>57</v>
      </c>
      <c r="C16" s="25">
        <f t="shared" si="0"/>
        <v>0</v>
      </c>
      <c r="D16" s="25">
        <f>83000/100000</f>
        <v>0.83</v>
      </c>
      <c r="E16" s="25">
        <f>340000/100000</f>
        <v>3.4</v>
      </c>
      <c r="F16" s="25">
        <f>2520000/100000</f>
        <v>25.2</v>
      </c>
      <c r="G16" s="25">
        <f>2183000/100000</f>
        <v>21.83</v>
      </c>
      <c r="H16" s="25">
        <f>3129000/100000</f>
        <v>31.29</v>
      </c>
      <c r="I16" s="25">
        <f>8500000/100000</f>
        <v>85</v>
      </c>
      <c r="J16" s="25">
        <f>2217000/100000</f>
        <v>22.17</v>
      </c>
      <c r="K16" s="25">
        <f>2070000/100000</f>
        <v>20.7</v>
      </c>
    </row>
    <row r="17" spans="1:11" ht="15">
      <c r="A17" s="24">
        <v>40555</v>
      </c>
      <c r="B17" s="25">
        <f>3700000/100000</f>
        <v>37</v>
      </c>
      <c r="C17" s="25">
        <f>40000/100000</f>
        <v>0.4</v>
      </c>
      <c r="D17" s="25">
        <f>52000/100000</f>
        <v>0.52</v>
      </c>
      <c r="E17" s="25">
        <f>440000/100000</f>
        <v>4.4</v>
      </c>
      <c r="F17" s="25">
        <f>2416000/100000</f>
        <v>24.16</v>
      </c>
      <c r="G17" s="25">
        <f>2147000/100000</f>
        <v>21.47</v>
      </c>
      <c r="H17" s="25">
        <f>2871000/100000</f>
        <v>28.71</v>
      </c>
      <c r="I17" s="25">
        <f>9200000/100000</f>
        <v>92</v>
      </c>
      <c r="J17" s="25">
        <f>2258000/100000</f>
        <v>22.58</v>
      </c>
      <c r="K17" s="25">
        <f>2110000/100000</f>
        <v>21.1</v>
      </c>
    </row>
    <row r="18" spans="1:11" ht="15">
      <c r="A18" s="24">
        <v>40556</v>
      </c>
      <c r="B18" s="25">
        <f>6900000/100000</f>
        <v>69</v>
      </c>
      <c r="C18" s="25">
        <f aca="true" t="shared" si="1" ref="C18:C36">0/100000</f>
        <v>0</v>
      </c>
      <c r="D18" s="25">
        <f>96000/100000</f>
        <v>0.96</v>
      </c>
      <c r="E18" s="25">
        <f>350000/100000</f>
        <v>3.5</v>
      </c>
      <c r="F18" s="25">
        <f>2610000/100000</f>
        <v>26.1</v>
      </c>
      <c r="G18" s="25">
        <f>2294000/100000</f>
        <v>22.94</v>
      </c>
      <c r="H18" s="25">
        <f>3192000/100000</f>
        <v>31.92</v>
      </c>
      <c r="I18" s="25">
        <f>8400000/100000</f>
        <v>84</v>
      </c>
      <c r="J18" s="25">
        <f>2265000/100000</f>
        <v>22.65</v>
      </c>
      <c r="K18" s="25">
        <f>2110000/100000</f>
        <v>21.1</v>
      </c>
    </row>
    <row r="19" spans="1:11" ht="15">
      <c r="A19" s="24">
        <v>40557</v>
      </c>
      <c r="B19" s="25">
        <f>6800000/100000</f>
        <v>68</v>
      </c>
      <c r="C19" s="25">
        <f t="shared" si="1"/>
        <v>0</v>
      </c>
      <c r="D19" s="25">
        <f>91000/100000</f>
        <v>0.91</v>
      </c>
      <c r="E19" s="25">
        <f>320000/100000</f>
        <v>3.2</v>
      </c>
      <c r="F19" s="25">
        <f>2566000/100000</f>
        <v>25.66</v>
      </c>
      <c r="G19" s="25">
        <f>2193000/100000</f>
        <v>21.93</v>
      </c>
      <c r="H19" s="25">
        <f>3111000/100000</f>
        <v>31.11</v>
      </c>
      <c r="I19" s="25">
        <f>8000000/100000</f>
        <v>80</v>
      </c>
      <c r="J19" s="25">
        <f>2123000/100000</f>
        <v>21.23</v>
      </c>
      <c r="K19" s="25">
        <f>1880000/100000</f>
        <v>18.8</v>
      </c>
    </row>
    <row r="20" spans="1:11" ht="15">
      <c r="A20" s="24">
        <v>40558</v>
      </c>
      <c r="B20" s="25">
        <f>5900000/100000</f>
        <v>59</v>
      </c>
      <c r="C20" s="25">
        <f t="shared" si="1"/>
        <v>0</v>
      </c>
      <c r="D20" s="25">
        <f>61000/100000</f>
        <v>0.61</v>
      </c>
      <c r="E20" s="25">
        <f>320000/100000</f>
        <v>3.2</v>
      </c>
      <c r="F20" s="25">
        <f>2556000/100000</f>
        <v>25.56</v>
      </c>
      <c r="G20" s="25">
        <f>2052000/100000</f>
        <v>20.52</v>
      </c>
      <c r="H20" s="25">
        <f>3180000/100000</f>
        <v>31.8</v>
      </c>
      <c r="I20" s="25">
        <f>7900000/100000</f>
        <v>79</v>
      </c>
      <c r="J20" s="25">
        <f>2087000/100000</f>
        <v>20.87</v>
      </c>
      <c r="K20" s="25">
        <f>1860000/100000</f>
        <v>18.6</v>
      </c>
    </row>
    <row r="21" spans="1:11" ht="15">
      <c r="A21" s="24">
        <v>40559</v>
      </c>
      <c r="B21" s="25">
        <f>5900000/100000</f>
        <v>59</v>
      </c>
      <c r="C21" s="25">
        <f t="shared" si="1"/>
        <v>0</v>
      </c>
      <c r="D21" s="25">
        <f>107000/100000</f>
        <v>1.07</v>
      </c>
      <c r="E21" s="25">
        <f>390000/100000</f>
        <v>3.9</v>
      </c>
      <c r="F21" s="25">
        <f>2554000/100000</f>
        <v>25.54</v>
      </c>
      <c r="G21" s="25">
        <f>2155000/100000</f>
        <v>21.55</v>
      </c>
      <c r="H21" s="25">
        <f>3215000/100000</f>
        <v>32.15</v>
      </c>
      <c r="I21" s="25">
        <f>8400000/100000</f>
        <v>84</v>
      </c>
      <c r="J21" s="25">
        <f>2210000/100000</f>
        <v>22.1</v>
      </c>
      <c r="K21" s="25">
        <f>2100000/100000</f>
        <v>21</v>
      </c>
    </row>
    <row r="22" spans="1:11" ht="15">
      <c r="A22" s="24">
        <v>40560</v>
      </c>
      <c r="B22" s="25">
        <f>6400000/100000</f>
        <v>64</v>
      </c>
      <c r="C22" s="25">
        <f t="shared" si="1"/>
        <v>0</v>
      </c>
      <c r="D22" s="25">
        <f>123000/100000</f>
        <v>1.23</v>
      </c>
      <c r="E22" s="25">
        <f>350000/100000</f>
        <v>3.5</v>
      </c>
      <c r="F22" s="25">
        <f>2662000/100000</f>
        <v>26.62</v>
      </c>
      <c r="G22" s="25">
        <f>2265000/100000</f>
        <v>22.65</v>
      </c>
      <c r="H22" s="25">
        <f>3219000/100000</f>
        <v>32.19</v>
      </c>
      <c r="I22" s="25">
        <f>7700000/100000</f>
        <v>77</v>
      </c>
      <c r="J22" s="25">
        <f>2166000/100000</f>
        <v>21.66</v>
      </c>
      <c r="K22" s="25">
        <f>1990000/100000</f>
        <v>19.9</v>
      </c>
    </row>
    <row r="23" spans="1:11" ht="15">
      <c r="A23" s="24">
        <v>40561</v>
      </c>
      <c r="B23" s="25">
        <f>7300000/100000</f>
        <v>73</v>
      </c>
      <c r="C23" s="25">
        <f t="shared" si="1"/>
        <v>0</v>
      </c>
      <c r="D23" s="25">
        <f>112000/100000</f>
        <v>1.12</v>
      </c>
      <c r="E23" s="25">
        <f>470000/100000</f>
        <v>4.7</v>
      </c>
      <c r="F23" s="25">
        <f>2567000/100000</f>
        <v>25.67</v>
      </c>
      <c r="G23" s="25">
        <f>2132000/100000</f>
        <v>21.32</v>
      </c>
      <c r="H23" s="25">
        <f>3188000/100000</f>
        <v>31.88</v>
      </c>
      <c r="I23" s="25">
        <f>7600000/100000</f>
        <v>76</v>
      </c>
      <c r="J23" s="25">
        <f>2023000/100000</f>
        <v>20.23</v>
      </c>
      <c r="K23" s="25">
        <f>1680000/100000</f>
        <v>16.8</v>
      </c>
    </row>
    <row r="24" spans="1:11" ht="15">
      <c r="A24" s="24">
        <v>40562</v>
      </c>
      <c r="B24" s="25">
        <f>4500000/100000</f>
        <v>45</v>
      </c>
      <c r="C24" s="25">
        <f t="shared" si="1"/>
        <v>0</v>
      </c>
      <c r="D24" s="25">
        <f>114000/100000</f>
        <v>1.14</v>
      </c>
      <c r="E24" s="25">
        <f>520000/100000</f>
        <v>5.2</v>
      </c>
      <c r="F24" s="25">
        <f>2371000/100000</f>
        <v>23.71</v>
      </c>
      <c r="G24" s="25">
        <f>2026000/100000</f>
        <v>20.26</v>
      </c>
      <c r="H24" s="25">
        <f>2766000/100000</f>
        <v>27.66</v>
      </c>
      <c r="I24" s="25">
        <f>8600000/100000</f>
        <v>86</v>
      </c>
      <c r="J24" s="25">
        <f>2082000/100000</f>
        <v>20.82</v>
      </c>
      <c r="K24" s="25">
        <f>1910000/100000</f>
        <v>19.1</v>
      </c>
    </row>
    <row r="25" spans="1:11" ht="15">
      <c r="A25" s="24">
        <v>40563</v>
      </c>
      <c r="B25" s="25">
        <f>3100000/100000</f>
        <v>31</v>
      </c>
      <c r="C25" s="25">
        <f t="shared" si="1"/>
        <v>0</v>
      </c>
      <c r="D25" s="25">
        <f>63000/100000</f>
        <v>0.63</v>
      </c>
      <c r="E25" s="25">
        <f>440000/100000</f>
        <v>4.4</v>
      </c>
      <c r="F25" s="25">
        <f>2282000/100000</f>
        <v>22.82</v>
      </c>
      <c r="G25" s="25">
        <f>2108000/100000</f>
        <v>21.08</v>
      </c>
      <c r="H25" s="25">
        <f>2738000/100000</f>
        <v>27.38</v>
      </c>
      <c r="I25" s="25">
        <f>9500000/100000</f>
        <v>95</v>
      </c>
      <c r="J25" s="25">
        <f>2178000/100000</f>
        <v>21.78</v>
      </c>
      <c r="K25" s="25">
        <f>2030000/100000</f>
        <v>20.3</v>
      </c>
    </row>
    <row r="26" spans="1:11" ht="15">
      <c r="A26" s="24">
        <v>40564</v>
      </c>
      <c r="B26" s="25">
        <f>4200000/100000</f>
        <v>42</v>
      </c>
      <c r="C26" s="25">
        <f t="shared" si="1"/>
        <v>0</v>
      </c>
      <c r="D26" s="25">
        <f>76000/100000</f>
        <v>0.76</v>
      </c>
      <c r="E26" s="25">
        <f>300000/100000</f>
        <v>3</v>
      </c>
      <c r="F26" s="25">
        <f>2422000/100000</f>
        <v>24.22</v>
      </c>
      <c r="G26" s="25">
        <f>2130000/100000</f>
        <v>21.3</v>
      </c>
      <c r="H26" s="25">
        <f>2905000/100000</f>
        <v>29.05</v>
      </c>
      <c r="I26" s="25">
        <f>8700000/100000</f>
        <v>87</v>
      </c>
      <c r="J26" s="25">
        <f>2158000/100000</f>
        <v>21.58</v>
      </c>
      <c r="K26" s="25">
        <f>2020000/100000</f>
        <v>20.2</v>
      </c>
    </row>
    <row r="27" spans="1:11" ht="15">
      <c r="A27" s="24">
        <v>40565</v>
      </c>
      <c r="B27" s="25">
        <f>6000000/100000</f>
        <v>60</v>
      </c>
      <c r="C27" s="25">
        <f t="shared" si="1"/>
        <v>0</v>
      </c>
      <c r="D27" s="25">
        <f>128000/100000</f>
        <v>1.28</v>
      </c>
      <c r="E27" s="25">
        <f>440000/100000</f>
        <v>4.4</v>
      </c>
      <c r="F27" s="25">
        <f>2451000/100000</f>
        <v>24.51</v>
      </c>
      <c r="G27" s="25">
        <f>2175000/100000</f>
        <v>21.75</v>
      </c>
      <c r="H27" s="25">
        <f>2936000/100000</f>
        <v>29.36</v>
      </c>
      <c r="I27" s="25">
        <f>8700000/100000</f>
        <v>87</v>
      </c>
      <c r="J27" s="25">
        <f>2189000/100000</f>
        <v>21.89</v>
      </c>
      <c r="K27" s="25">
        <f>2020000/100000</f>
        <v>20.2</v>
      </c>
    </row>
    <row r="28" spans="1:11" ht="15">
      <c r="A28" s="24">
        <v>40566</v>
      </c>
      <c r="B28" s="25">
        <f>6100000/100000</f>
        <v>61</v>
      </c>
      <c r="C28" s="25">
        <f t="shared" si="1"/>
        <v>0</v>
      </c>
      <c r="D28" s="25">
        <f>149000/100000</f>
        <v>1.49</v>
      </c>
      <c r="E28" s="25">
        <f>480000/100000</f>
        <v>4.8</v>
      </c>
      <c r="F28" s="25">
        <f>2452000/100000</f>
        <v>24.52</v>
      </c>
      <c r="G28" s="25">
        <f>2153000/100000</f>
        <v>21.53</v>
      </c>
      <c r="H28" s="25">
        <f>2975000/100000</f>
        <v>29.75</v>
      </c>
      <c r="I28" s="25">
        <f>8500000/100000</f>
        <v>85</v>
      </c>
      <c r="J28" s="25">
        <f>2143000/100000</f>
        <v>21.43</v>
      </c>
      <c r="K28" s="25">
        <f>1880000/100000</f>
        <v>18.8</v>
      </c>
    </row>
    <row r="29" spans="1:11" ht="15">
      <c r="A29" s="24">
        <v>40567</v>
      </c>
      <c r="B29" s="25">
        <f>7200000/100000</f>
        <v>72</v>
      </c>
      <c r="C29" s="25">
        <f t="shared" si="1"/>
        <v>0</v>
      </c>
      <c r="D29" s="25">
        <f>135000/100000</f>
        <v>1.35</v>
      </c>
      <c r="E29" s="25">
        <f>430000/100000</f>
        <v>4.3</v>
      </c>
      <c r="F29" s="25">
        <f>2470000/100000</f>
        <v>24.7</v>
      </c>
      <c r="G29" s="25">
        <f>2107000/100000</f>
        <v>21.07</v>
      </c>
      <c r="H29" s="25">
        <f>3027000/100000</f>
        <v>30.27</v>
      </c>
      <c r="I29" s="25">
        <f>8300000/100000</f>
        <v>83</v>
      </c>
      <c r="J29" s="25">
        <f>2094000/100000</f>
        <v>20.94</v>
      </c>
      <c r="K29" s="25">
        <f>1800000/100000</f>
        <v>18</v>
      </c>
    </row>
    <row r="30" spans="1:11" ht="15">
      <c r="A30" s="24">
        <v>40568</v>
      </c>
      <c r="B30" s="25">
        <f>7300000/100000</f>
        <v>73</v>
      </c>
      <c r="C30" s="25">
        <f t="shared" si="1"/>
        <v>0</v>
      </c>
      <c r="D30" s="25">
        <f>117000/100000</f>
        <v>1.17</v>
      </c>
      <c r="E30" s="25">
        <f>360000/100000</f>
        <v>3.6</v>
      </c>
      <c r="F30" s="25">
        <f>2447000/100000</f>
        <v>24.47</v>
      </c>
      <c r="G30" s="25">
        <f>2123000/100000</f>
        <v>21.23</v>
      </c>
      <c r="H30" s="25">
        <f>2923000/100000</f>
        <v>29.23</v>
      </c>
      <c r="I30" s="25">
        <f>8700000/100000</f>
        <v>87</v>
      </c>
      <c r="J30" s="25">
        <f>2167000/100000</f>
        <v>21.67</v>
      </c>
      <c r="K30" s="25">
        <f>1860000/100000</f>
        <v>18.6</v>
      </c>
    </row>
    <row r="31" spans="1:11" ht="15">
      <c r="A31" s="24">
        <v>40569</v>
      </c>
      <c r="B31" s="25">
        <f>6000000/100000</f>
        <v>60</v>
      </c>
      <c r="C31" s="25">
        <f t="shared" si="1"/>
        <v>0</v>
      </c>
      <c r="D31" s="25">
        <f>119000/100000</f>
        <v>1.19</v>
      </c>
      <c r="E31" s="25">
        <f>480000/100000</f>
        <v>4.8</v>
      </c>
      <c r="F31" s="25">
        <f>2563000/100000</f>
        <v>25.63</v>
      </c>
      <c r="G31" s="25">
        <f>2178000/100000</f>
        <v>21.78</v>
      </c>
      <c r="H31" s="25">
        <f>3318000/100000</f>
        <v>33.18</v>
      </c>
      <c r="I31" s="25">
        <f>8300000/100000</f>
        <v>83</v>
      </c>
      <c r="J31" s="25">
        <f>2189000/100000</f>
        <v>21.89</v>
      </c>
      <c r="K31" s="25">
        <f>1950000/100000</f>
        <v>19.5</v>
      </c>
    </row>
    <row r="32" spans="1:11" ht="15">
      <c r="A32" s="24">
        <v>40570</v>
      </c>
      <c r="B32" s="25">
        <f>5400000/100000</f>
        <v>54</v>
      </c>
      <c r="C32" s="25">
        <f t="shared" si="1"/>
        <v>0</v>
      </c>
      <c r="D32" s="25">
        <f>116000/100000</f>
        <v>1.16</v>
      </c>
      <c r="E32" s="25">
        <f>440000/100000</f>
        <v>4.4</v>
      </c>
      <c r="F32" s="25">
        <f>2561000/100000</f>
        <v>25.61</v>
      </c>
      <c r="G32" s="25">
        <f>2235000/100000</f>
        <v>22.35</v>
      </c>
      <c r="H32" s="25">
        <f>3007000/100000</f>
        <v>30.07</v>
      </c>
      <c r="I32" s="25">
        <f>8400000/100000</f>
        <v>84</v>
      </c>
      <c r="J32" s="25">
        <f>2222000/100000</f>
        <v>22.22</v>
      </c>
      <c r="K32" s="25">
        <f>2110000/100000</f>
        <v>21.1</v>
      </c>
    </row>
    <row r="33" spans="1:11" ht="15">
      <c r="A33" s="24">
        <v>40571</v>
      </c>
      <c r="B33" s="25">
        <f>4600000/100000</f>
        <v>46</v>
      </c>
      <c r="C33" s="25">
        <f t="shared" si="1"/>
        <v>0</v>
      </c>
      <c r="D33" s="25">
        <f>73000/100000</f>
        <v>0.73</v>
      </c>
      <c r="E33" s="25">
        <f>440000/100000</f>
        <v>4.4</v>
      </c>
      <c r="F33" s="25">
        <f>2412000/100000</f>
        <v>24.12</v>
      </c>
      <c r="G33" s="25">
        <f>2169000/100000</f>
        <v>21.69</v>
      </c>
      <c r="H33" s="25">
        <f>2947000/100000</f>
        <v>29.47</v>
      </c>
      <c r="I33" s="25">
        <f>8500000/100000</f>
        <v>85</v>
      </c>
      <c r="J33" s="25">
        <f>2105000/100000</f>
        <v>21.05</v>
      </c>
      <c r="K33" s="25">
        <f>1710000/100000</f>
        <v>17.1</v>
      </c>
    </row>
    <row r="34" spans="1:11" ht="15">
      <c r="A34" s="24">
        <v>40572</v>
      </c>
      <c r="B34" s="25">
        <f>7400000/100000</f>
        <v>74</v>
      </c>
      <c r="C34" s="25">
        <f t="shared" si="1"/>
        <v>0</v>
      </c>
      <c r="D34" s="25">
        <f>137000/100000</f>
        <v>1.37</v>
      </c>
      <c r="E34" s="25">
        <f>500000/100000</f>
        <v>5</v>
      </c>
      <c r="F34" s="25">
        <f>2511000/100000</f>
        <v>25.11</v>
      </c>
      <c r="G34" s="25">
        <f>2021000/100000</f>
        <v>20.21</v>
      </c>
      <c r="H34" s="25">
        <f>3096000/100000</f>
        <v>30.96</v>
      </c>
      <c r="I34" s="25">
        <f>8000000/100000</f>
        <v>80</v>
      </c>
      <c r="J34" s="25">
        <f>2086000/100000</f>
        <v>20.86</v>
      </c>
      <c r="K34" s="25">
        <f>1940000/100000</f>
        <v>19.4</v>
      </c>
    </row>
    <row r="35" spans="1:11" ht="15">
      <c r="A35" s="24">
        <v>40573</v>
      </c>
      <c r="B35" s="25">
        <f>6500000/100000</f>
        <v>65</v>
      </c>
      <c r="C35" s="25">
        <f t="shared" si="1"/>
        <v>0</v>
      </c>
      <c r="D35" s="25">
        <f>113000/100000</f>
        <v>1.13</v>
      </c>
      <c r="E35" s="25">
        <f>380000/100000</f>
        <v>3.8</v>
      </c>
      <c r="F35" s="25">
        <f>2563000/100000</f>
        <v>25.63</v>
      </c>
      <c r="G35" s="25">
        <f>2148000/100000</f>
        <v>21.48</v>
      </c>
      <c r="H35" s="25">
        <f>3184000/100000</f>
        <v>31.84</v>
      </c>
      <c r="I35" s="25">
        <f>8100000/100000</f>
        <v>81</v>
      </c>
      <c r="J35" s="25">
        <f>2134000/100000</f>
        <v>21.34</v>
      </c>
      <c r="K35" s="25">
        <f>1850000/100000</f>
        <v>18.5</v>
      </c>
    </row>
    <row r="36" spans="1:11" ht="15">
      <c r="A36" s="24">
        <v>40574</v>
      </c>
      <c r="B36" s="25">
        <f>5600000/100000</f>
        <v>56</v>
      </c>
      <c r="C36" s="25">
        <f t="shared" si="1"/>
        <v>0</v>
      </c>
      <c r="D36" s="25">
        <f>108000/100000</f>
        <v>1.08</v>
      </c>
      <c r="E36" s="25">
        <f>440000/100000</f>
        <v>4.4</v>
      </c>
      <c r="F36" s="25">
        <f>2590000/100000</f>
        <v>25.9</v>
      </c>
      <c r="G36" s="25">
        <f>2146000/100000</f>
        <v>21.46</v>
      </c>
      <c r="H36" s="25">
        <f>3261000/100000</f>
        <v>32.61</v>
      </c>
      <c r="I36" s="25">
        <f>8000000/100000</f>
        <v>80</v>
      </c>
      <c r="J36" s="25">
        <f>2149000/100000</f>
        <v>21.49</v>
      </c>
      <c r="K36" s="25">
        <f>1920000/100000</f>
        <v>19.2</v>
      </c>
    </row>
    <row r="37" spans="1:11" ht="1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6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6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6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6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6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6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6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6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6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6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6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6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6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6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6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6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6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6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6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6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6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6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6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6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6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6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6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6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6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6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6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6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6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6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6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6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6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6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6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6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6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6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6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6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6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6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6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6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6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6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6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6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6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6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6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6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6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6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6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6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6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6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6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6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6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6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6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6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6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6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6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6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6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6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6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6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6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6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6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6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6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6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6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6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6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6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6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6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6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6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6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6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6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6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6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6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6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6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6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6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6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6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6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6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6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6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6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6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6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6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6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6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6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6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6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6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6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6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6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6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6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6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6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6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6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6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6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6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6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6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6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6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6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6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6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6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6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6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6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6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6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6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6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6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6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6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6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6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6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6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6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6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6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6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6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6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6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6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6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6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6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6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6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6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6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6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6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6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6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6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6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6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6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6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6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6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6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6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6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6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6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6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6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6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6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6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6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6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6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6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6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6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6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6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6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6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6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6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6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6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6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6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6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6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6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6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6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6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6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6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6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6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6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6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6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6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6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6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6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6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6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6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6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6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6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6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6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6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6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6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6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6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6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6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6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6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6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6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6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6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6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6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6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6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6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6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6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6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6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6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6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6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6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6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6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6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6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6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6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6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6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6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6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6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6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6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6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6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6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6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6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6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6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6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6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6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6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6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6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6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6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6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6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6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6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6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6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6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6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6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6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6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6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6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6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6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6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6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6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6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6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6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6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6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6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6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6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6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6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6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6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6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6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6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6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6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6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6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6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6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6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6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6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6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6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6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6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6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6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6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6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6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6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6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6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6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6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6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6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6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6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6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6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6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6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6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6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6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6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6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6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6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6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6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6"/>
      <c r="B532" s="8"/>
      <c r="C532" s="8"/>
      <c r="D532" s="8"/>
      <c r="E532" s="8"/>
      <c r="F532" s="8"/>
      <c r="G532" s="8"/>
      <c r="H532" s="8"/>
      <c r="I532" s="8"/>
      <c r="J532" s="8"/>
      <c r="K532" s="8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2011-09-07T18:27:15Z</dcterms:modified>
  <cp:category/>
  <cp:version/>
  <cp:contentType/>
  <cp:contentStatus/>
</cp:coreProperties>
</file>