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activeTab="0"/>
  </bookViews>
  <sheets>
    <sheet name="1-Janeiro dados horário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<sst xmlns="http://schemas.openxmlformats.org/spreadsheetml/2006/main" count="32" uniqueCount="25">
  <si>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[W/m²]</t>
  </si>
  <si>
    <t>[mm]</t>
  </si>
  <si>
    <t>[°C]</t>
  </si>
  <si>
    <t>[%]</t>
  </si>
  <si>
    <t>Média</t>
  </si>
  <si>
    <t>Somatório</t>
  </si>
  <si>
    <t>Máximo</t>
  </si>
  <si>
    <t>Minimo</t>
  </si>
  <si>
    <t>Data</t>
  </si>
  <si>
    <t>Radiação Solar</t>
  </si>
  <si>
    <t>Precipitação</t>
  </si>
  <si>
    <t>Velocidade do Vento</t>
  </si>
  <si>
    <t>[m/s]</t>
  </si>
  <si>
    <t>Temperatura do Ar</t>
  </si>
  <si>
    <t>Campus Universitário da UFRB-Cruz das Almas, BA</t>
  </si>
  <si>
    <t>Temp. do Ponto de Orvalho</t>
  </si>
  <si>
    <t xml:space="preserve">Um. Relativa </t>
  </si>
  <si>
    <t>Núcleo de Engenharia de Água e Solo</t>
  </si>
  <si>
    <t xml:space="preserve">       Observações:</t>
  </si>
  <si>
    <t xml:space="preserve">Dados Meteorológicos Diários de Estação Automática </t>
  </si>
  <si>
    <t>Setembro de 2011</t>
  </si>
  <si>
    <t>(2) Dados brutos conforme download do site da estação (www.pessl.metos.at)</t>
  </si>
  <si>
    <t>(3) O NEAS não se responsabiliza pela qualidade dos dados</t>
  </si>
  <si>
    <t>(4) O uso dos dados e os produtos deles derivados são de inteira responsabildade do usuário</t>
  </si>
  <si>
    <t>(1) Planilha incompleta, com a partir do dia 02/09/2011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</si>
</sst>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6"/>
      <color rgb="FF0033CC"/>
      <name val="Calibri"/>
      <family val="2"/>
    </font>
    <font>
      <b/>
      <sz val="11"/>
      <color rgb="FF0033CC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1" fillId="34" borderId="0" xfId="0" applyFont="1" applyFill="1" applyBorder="1" applyAlignment="1">
      <alignment/>
    </xf>
    <xf numFmtId="0" fontId="41" fillId="34" borderId="0" xfId="0" applyFont="1" applyFill="1" applyBorder="1" applyAlignment="1">
      <alignment horizontal="center"/>
    </xf>
    <xf numFmtId="0" fontId="42" fillId="34" borderId="0" xfId="0" applyFont="1" applyFill="1" applyAlignment="1">
      <alignment horizontal="center"/>
    </xf>
    <xf numFmtId="0" fontId="41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Border="1" applyAlignment="1">
      <alignment horizontal="left" vertical="center"/>
    </xf>
    <xf numFmtId="22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190500</xdr:colOff>
      <xdr:row>34</xdr:row>
      <xdr:rowOff>142875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294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N15" sqref="N15"/>
    </sheetView>
  </sheetViews>
  <sheetFormatPr defaultColWidth="9.140625" defaultRowHeight="15"/>
  <cols>
    <col min="1" max="1" width="18.7109375" style="6" customWidth="1"/>
    <col min="2" max="4" width="12.7109375" style="6" customWidth="1"/>
    <col min="5" max="5" width="11.00390625" style="6" customWidth="1"/>
    <col min="6" max="8" width="6.7109375" style="6" customWidth="1"/>
    <col min="9" max="11" width="12.7109375" style="6" customWidth="1"/>
  </cols>
  <sheetData>
    <row r="1" spans="1:11" ht="21">
      <c r="A1" s="7" t="s">
        <v>19</v>
      </c>
      <c r="B1" s="8"/>
      <c r="C1" s="9"/>
      <c r="D1" s="9"/>
      <c r="E1" s="9"/>
      <c r="F1" s="9"/>
      <c r="G1" s="10" t="s">
        <v>20</v>
      </c>
      <c r="H1" s="9"/>
      <c r="I1" s="9"/>
      <c r="J1" s="9"/>
      <c r="K1" s="9"/>
    </row>
    <row r="2" spans="1:11" ht="21">
      <c r="A2" s="7" t="s">
        <v>14</v>
      </c>
      <c r="B2" s="8"/>
      <c r="C2" s="9"/>
      <c r="D2" s="9"/>
      <c r="E2" s="9"/>
      <c r="F2" s="9"/>
      <c r="G2" s="10" t="s">
        <v>17</v>
      </c>
      <c r="H2" s="9"/>
      <c r="I2" s="9"/>
      <c r="J2" s="9"/>
      <c r="K2" s="9"/>
    </row>
    <row r="3" spans="1:14" ht="15" customHeight="1">
      <c r="A3" s="20" t="s">
        <v>8</v>
      </c>
      <c r="B3" s="4" t="s">
        <v>9</v>
      </c>
      <c r="C3" s="1" t="s">
        <v>10</v>
      </c>
      <c r="D3" s="16" t="s">
        <v>11</v>
      </c>
      <c r="E3" s="17"/>
      <c r="F3" s="16" t="s">
        <v>13</v>
      </c>
      <c r="G3" s="22"/>
      <c r="H3" s="17"/>
      <c r="I3" s="1" t="s">
        <v>16</v>
      </c>
      <c r="J3" s="16" t="s">
        <v>15</v>
      </c>
      <c r="K3" s="17"/>
      <c r="M3" s="12" t="s">
        <v>18</v>
      </c>
      <c r="N3" s="11"/>
    </row>
    <row r="4" spans="1:13" ht="15">
      <c r="A4" s="21"/>
      <c r="B4" s="2" t="s">
        <v>0</v>
      </c>
      <c r="C4" s="2" t="s">
        <v>1</v>
      </c>
      <c r="D4" s="18" t="s">
        <v>12</v>
      </c>
      <c r="E4" s="19"/>
      <c r="F4" s="18" t="s">
        <v>2</v>
      </c>
      <c r="G4" s="23"/>
      <c r="H4" s="19"/>
      <c r="I4" s="2" t="s">
        <v>3</v>
      </c>
      <c r="J4" s="18" t="s">
        <v>2</v>
      </c>
      <c r="K4" s="19"/>
      <c r="M4" t="s">
        <v>24</v>
      </c>
    </row>
    <row r="5" spans="1:13" ht="15">
      <c r="A5" s="5"/>
      <c r="B5" s="3" t="s">
        <v>4</v>
      </c>
      <c r="C5" s="3" t="s">
        <v>5</v>
      </c>
      <c r="D5" s="3" t="s">
        <v>4</v>
      </c>
      <c r="E5" s="3" t="s">
        <v>6</v>
      </c>
      <c r="F5" s="3" t="s">
        <v>4</v>
      </c>
      <c r="G5" s="3" t="s">
        <v>7</v>
      </c>
      <c r="H5" s="3" t="s">
        <v>6</v>
      </c>
      <c r="I5" s="3" t="s">
        <v>4</v>
      </c>
      <c r="J5" s="3" t="s">
        <v>4</v>
      </c>
      <c r="K5" s="3" t="s">
        <v>7</v>
      </c>
      <c r="M5" s="13" t="s">
        <v>21</v>
      </c>
    </row>
    <row r="6" spans="1:13" ht="15">
      <c r="A6" s="14">
        <v>40788</v>
      </c>
      <c r="B6" s="15">
        <f>5000000/100000</f>
        <v>50</v>
      </c>
      <c r="C6" s="15">
        <f>0/100000</f>
        <v>0</v>
      </c>
      <c r="D6" s="15">
        <f>140000/100000</f>
        <v>1.4</v>
      </c>
      <c r="E6" s="15">
        <f>410000/100000</f>
        <v>4.1</v>
      </c>
      <c r="F6" s="15">
        <f>2152000/100000</f>
        <v>21.52</v>
      </c>
      <c r="G6" s="15">
        <f>1709000/100000</f>
        <v>17.09</v>
      </c>
      <c r="H6" s="15">
        <f>2696000/100000</f>
        <v>26.96</v>
      </c>
      <c r="I6" s="15">
        <f>7900000/100000</f>
        <v>79</v>
      </c>
      <c r="J6" s="15">
        <f>1701000/100000</f>
        <v>17.01</v>
      </c>
      <c r="K6" s="15">
        <f>1340000/100000</f>
        <v>13.4</v>
      </c>
      <c r="M6" t="s">
        <v>22</v>
      </c>
    </row>
    <row r="7" spans="1:13" ht="15">
      <c r="A7" s="14">
        <v>40789</v>
      </c>
      <c r="B7" s="15">
        <f>3900000/100000</f>
        <v>39</v>
      </c>
      <c r="C7" s="15">
        <f>20000/100000</f>
        <v>0.2</v>
      </c>
      <c r="D7" s="15">
        <f>208000/100000</f>
        <v>2.08</v>
      </c>
      <c r="E7" s="15">
        <f>440000/100000</f>
        <v>4.4</v>
      </c>
      <c r="F7" s="15">
        <f>1975000/100000</f>
        <v>19.75</v>
      </c>
      <c r="G7" s="15">
        <f>1859000/100000</f>
        <v>18.59</v>
      </c>
      <c r="H7" s="15">
        <f>2210000/100000</f>
        <v>22.1</v>
      </c>
      <c r="I7" s="15">
        <f>9800000/100000</f>
        <v>98</v>
      </c>
      <c r="J7" s="15">
        <f>1917000/100000</f>
        <v>19.17</v>
      </c>
      <c r="K7" s="15">
        <f>1720000/100000</f>
        <v>17.2</v>
      </c>
      <c r="M7" t="s">
        <v>23</v>
      </c>
    </row>
    <row r="8" spans="1:11" ht="15">
      <c r="A8" s="14">
        <v>40790</v>
      </c>
      <c r="B8" s="15">
        <f>4100000/100000</f>
        <v>41</v>
      </c>
      <c r="C8" s="15">
        <f aca="true" t="shared" si="0" ref="C8:C20">0/100000</f>
        <v>0</v>
      </c>
      <c r="D8" s="15">
        <f>209000/100000</f>
        <v>2.09</v>
      </c>
      <c r="E8" s="15">
        <f>590000/100000</f>
        <v>5.9</v>
      </c>
      <c r="F8" s="15">
        <f>2005000/100000</f>
        <v>20.05</v>
      </c>
      <c r="G8" s="15">
        <f>1720000/100000</f>
        <v>17.2</v>
      </c>
      <c r="H8" s="15">
        <f>2521000/100000</f>
        <v>25.21</v>
      </c>
      <c r="I8" s="15">
        <f>8500000/100000</f>
        <v>85</v>
      </c>
      <c r="J8" s="15">
        <f>1704000/100000</f>
        <v>17.04</v>
      </c>
      <c r="K8" s="15">
        <f>1620000/100000</f>
        <v>16.2</v>
      </c>
    </row>
    <row r="9" spans="1:11" ht="15">
      <c r="A9" s="14">
        <v>40791</v>
      </c>
      <c r="B9" s="15">
        <f>3900000/100000</f>
        <v>39</v>
      </c>
      <c r="C9" s="15">
        <f t="shared" si="0"/>
        <v>0</v>
      </c>
      <c r="D9" s="15">
        <f>106000/100000</f>
        <v>1.06</v>
      </c>
      <c r="E9" s="15">
        <f>440000/100000</f>
        <v>4.4</v>
      </c>
      <c r="F9" s="15">
        <f>1991000/100000</f>
        <v>19.91</v>
      </c>
      <c r="G9" s="15">
        <f>1673000/100000</f>
        <v>16.73</v>
      </c>
      <c r="H9" s="15">
        <f>2569000/100000</f>
        <v>25.69</v>
      </c>
      <c r="I9" s="15">
        <f>8600000/100000</f>
        <v>86</v>
      </c>
      <c r="J9" s="15">
        <f>1719000/100000</f>
        <v>17.19</v>
      </c>
      <c r="K9" s="15">
        <f>1640000/100000</f>
        <v>16.4</v>
      </c>
    </row>
    <row r="10" spans="1:11" ht="15">
      <c r="A10" s="14">
        <v>40792</v>
      </c>
      <c r="B10" s="15">
        <f>3900000/100000</f>
        <v>39</v>
      </c>
      <c r="C10" s="15">
        <f t="shared" si="0"/>
        <v>0</v>
      </c>
      <c r="D10" s="15">
        <f>70000/100000</f>
        <v>0.7</v>
      </c>
      <c r="E10" s="15">
        <f>370000/100000</f>
        <v>3.7</v>
      </c>
      <c r="F10" s="15">
        <f>2058000/100000</f>
        <v>20.58</v>
      </c>
      <c r="G10" s="15">
        <f>1701000/100000</f>
        <v>17.01</v>
      </c>
      <c r="H10" s="15">
        <f>2647000/100000</f>
        <v>26.47</v>
      </c>
      <c r="I10" s="15">
        <f>8400000/100000</f>
        <v>84</v>
      </c>
      <c r="J10" s="15">
        <f>1737000/100000</f>
        <v>17.37</v>
      </c>
      <c r="K10" s="15">
        <f>1530000/100000</f>
        <v>15.3</v>
      </c>
    </row>
    <row r="11" spans="1:11" ht="15">
      <c r="A11" s="14">
        <v>40793</v>
      </c>
      <c r="B11" s="15">
        <f>4800000/100000</f>
        <v>48</v>
      </c>
      <c r="C11" s="15">
        <f t="shared" si="0"/>
        <v>0</v>
      </c>
      <c r="D11" s="15">
        <f>84000/100000</f>
        <v>0.84</v>
      </c>
      <c r="E11" s="15">
        <f>330000/100000</f>
        <v>3.3</v>
      </c>
      <c r="F11" s="15">
        <f>2105000/100000</f>
        <v>21.05</v>
      </c>
      <c r="G11" s="15">
        <f>1606000/100000</f>
        <v>16.06</v>
      </c>
      <c r="H11" s="15">
        <f>2680000/100000</f>
        <v>26.8</v>
      </c>
      <c r="I11" s="15">
        <f>8300000/100000</f>
        <v>83</v>
      </c>
      <c r="J11" s="15">
        <f>1750000/100000</f>
        <v>17.5</v>
      </c>
      <c r="K11" s="15">
        <f>1570000/100000</f>
        <v>15.7</v>
      </c>
    </row>
    <row r="12" spans="1:11" ht="15">
      <c r="A12" s="14">
        <v>40794</v>
      </c>
      <c r="B12" s="15">
        <f>4700000/100000</f>
        <v>47</v>
      </c>
      <c r="C12" s="15">
        <f t="shared" si="0"/>
        <v>0</v>
      </c>
      <c r="D12" s="15">
        <f>93000/100000</f>
        <v>0.93</v>
      </c>
      <c r="E12" s="15">
        <f>360000/100000</f>
        <v>3.6</v>
      </c>
      <c r="F12" s="15">
        <f>2163000/100000</f>
        <v>21.63</v>
      </c>
      <c r="G12" s="15">
        <f>1669000/100000</f>
        <v>16.69</v>
      </c>
      <c r="H12" s="15">
        <f>2728000/100000</f>
        <v>27.28</v>
      </c>
      <c r="I12" s="15">
        <f>8500000/100000</f>
        <v>85</v>
      </c>
      <c r="J12" s="15">
        <f>1854000/100000</f>
        <v>18.54</v>
      </c>
      <c r="K12" s="15">
        <f>1640000/100000</f>
        <v>16.4</v>
      </c>
    </row>
    <row r="13" spans="1:11" ht="15">
      <c r="A13" s="14">
        <v>40795</v>
      </c>
      <c r="B13" s="15">
        <f>4800000/100000</f>
        <v>48</v>
      </c>
      <c r="C13" s="15">
        <f t="shared" si="0"/>
        <v>0</v>
      </c>
      <c r="D13" s="15">
        <f>65000/100000</f>
        <v>0.65</v>
      </c>
      <c r="E13" s="15">
        <f>290000/100000</f>
        <v>2.9</v>
      </c>
      <c r="F13" s="15">
        <f>2171000/100000</f>
        <v>21.71</v>
      </c>
      <c r="G13" s="15">
        <f>1705000/100000</f>
        <v>17.05</v>
      </c>
      <c r="H13" s="15">
        <f>2771000/100000</f>
        <v>27.71</v>
      </c>
      <c r="I13" s="15">
        <f>7900000/100000</f>
        <v>79</v>
      </c>
      <c r="J13" s="15">
        <f>1729000/100000</f>
        <v>17.29</v>
      </c>
      <c r="K13" s="15">
        <f>1460000/100000</f>
        <v>14.6</v>
      </c>
    </row>
    <row r="14" spans="1:11" ht="15">
      <c r="A14" s="14">
        <v>40796</v>
      </c>
      <c r="B14" s="15">
        <f>4400000/100000</f>
        <v>44</v>
      </c>
      <c r="C14" s="15">
        <f t="shared" si="0"/>
        <v>0</v>
      </c>
      <c r="D14" s="15">
        <f>64000/100000</f>
        <v>0.64</v>
      </c>
      <c r="E14" s="15">
        <f>320000/100000</f>
        <v>3.2</v>
      </c>
      <c r="F14" s="15">
        <f>2222000/100000</f>
        <v>22.22</v>
      </c>
      <c r="G14" s="15">
        <f>1777000/100000</f>
        <v>17.77</v>
      </c>
      <c r="H14" s="15">
        <f>2850000/100000</f>
        <v>28.5</v>
      </c>
      <c r="I14" s="15">
        <f>8300000/100000</f>
        <v>83</v>
      </c>
      <c r="J14" s="15">
        <f>1879000/100000</f>
        <v>18.79</v>
      </c>
      <c r="K14" s="15">
        <f>1720000/100000</f>
        <v>17.2</v>
      </c>
    </row>
    <row r="15" spans="1:11" ht="15">
      <c r="A15" s="14">
        <v>40797</v>
      </c>
      <c r="B15" s="15">
        <f>5300000/100000</f>
        <v>53</v>
      </c>
      <c r="C15" s="15">
        <f t="shared" si="0"/>
        <v>0</v>
      </c>
      <c r="D15" s="15">
        <f>68000/100000</f>
        <v>0.68</v>
      </c>
      <c r="E15" s="15">
        <f>330000/100000</f>
        <v>3.3</v>
      </c>
      <c r="F15" s="15">
        <f>2306000/100000</f>
        <v>23.06</v>
      </c>
      <c r="G15" s="15">
        <f>1889000/100000</f>
        <v>18.89</v>
      </c>
      <c r="H15" s="15">
        <f>2979000/100000</f>
        <v>29.79</v>
      </c>
      <c r="I15" s="15">
        <f>8400000/100000</f>
        <v>84</v>
      </c>
      <c r="J15" s="15">
        <f>1958000/100000</f>
        <v>19.58</v>
      </c>
      <c r="K15" s="15">
        <f>1600000/100000</f>
        <v>16</v>
      </c>
    </row>
    <row r="16" spans="1:11" ht="15">
      <c r="A16" s="14">
        <v>40798</v>
      </c>
      <c r="B16" s="15">
        <f>4200000/100000</f>
        <v>42</v>
      </c>
      <c r="C16" s="15">
        <f t="shared" si="0"/>
        <v>0</v>
      </c>
      <c r="D16" s="15">
        <f>85000/100000</f>
        <v>0.85</v>
      </c>
      <c r="E16" s="15">
        <f>410000/100000</f>
        <v>4.1</v>
      </c>
      <c r="F16" s="15">
        <f>2221000/100000</f>
        <v>22.21</v>
      </c>
      <c r="G16" s="15">
        <f>1847000/100000</f>
        <v>18.47</v>
      </c>
      <c r="H16" s="15">
        <f>2779000/100000</f>
        <v>27.79</v>
      </c>
      <c r="I16" s="15">
        <f>8300000/100000</f>
        <v>83</v>
      </c>
      <c r="J16" s="15">
        <f>1866000/100000</f>
        <v>18.66</v>
      </c>
      <c r="K16" s="15">
        <f>1600000/100000</f>
        <v>16</v>
      </c>
    </row>
    <row r="17" spans="1:11" ht="15">
      <c r="A17" s="14">
        <v>40799</v>
      </c>
      <c r="B17" s="15">
        <f>4100000/100000</f>
        <v>41</v>
      </c>
      <c r="C17" s="15">
        <f t="shared" si="0"/>
        <v>0</v>
      </c>
      <c r="D17" s="15">
        <f>93000/100000</f>
        <v>0.93</v>
      </c>
      <c r="E17" s="15">
        <f>380000/100000</f>
        <v>3.8</v>
      </c>
      <c r="F17" s="15">
        <f>2136000/100000</f>
        <v>21.36</v>
      </c>
      <c r="G17" s="15">
        <f>1663000/100000</f>
        <v>16.63</v>
      </c>
      <c r="H17" s="15">
        <f>2735000/100000</f>
        <v>27.35</v>
      </c>
      <c r="I17" s="15">
        <f>7900000/100000</f>
        <v>79</v>
      </c>
      <c r="J17" s="15">
        <f>1683000/100000</f>
        <v>16.83</v>
      </c>
      <c r="K17" s="15">
        <f>1340000/100000</f>
        <v>13.4</v>
      </c>
    </row>
    <row r="18" spans="1:11" ht="15">
      <c r="A18" s="14">
        <v>40800</v>
      </c>
      <c r="B18" s="15">
        <f>4200000/100000</f>
        <v>42</v>
      </c>
      <c r="C18" s="15">
        <f t="shared" si="0"/>
        <v>0</v>
      </c>
      <c r="D18" s="15">
        <f>153000/100000</f>
        <v>1.53</v>
      </c>
      <c r="E18" s="15">
        <f>430000/100000</f>
        <v>4.3</v>
      </c>
      <c r="F18" s="15">
        <f>2157000/100000</f>
        <v>21.57</v>
      </c>
      <c r="G18" s="15">
        <f>1745000/100000</f>
        <v>17.45</v>
      </c>
      <c r="H18" s="15">
        <f>2758000/100000</f>
        <v>27.58</v>
      </c>
      <c r="I18" s="15">
        <f>8200000/100000</f>
        <v>82</v>
      </c>
      <c r="J18" s="15">
        <f>1790000/100000</f>
        <v>17.9</v>
      </c>
      <c r="K18" s="15">
        <f>1680000/100000</f>
        <v>16.8</v>
      </c>
    </row>
    <row r="19" spans="1:11" ht="15">
      <c r="A19" s="14">
        <v>40801</v>
      </c>
      <c r="B19" s="15">
        <f>3300000/100000</f>
        <v>33</v>
      </c>
      <c r="C19" s="15">
        <f t="shared" si="0"/>
        <v>0</v>
      </c>
      <c r="D19" s="15">
        <f>186000/100000</f>
        <v>1.86</v>
      </c>
      <c r="E19" s="15">
        <f>570000/100000</f>
        <v>5.7</v>
      </c>
      <c r="F19" s="15">
        <f>2169000/100000</f>
        <v>21.69</v>
      </c>
      <c r="G19" s="15">
        <f>1846000/100000</f>
        <v>18.46</v>
      </c>
      <c r="H19" s="15">
        <f>2654000/100000</f>
        <v>26.54</v>
      </c>
      <c r="I19" s="15">
        <f>8400000/100000</f>
        <v>84</v>
      </c>
      <c r="J19" s="15">
        <f>1839000/100000</f>
        <v>18.39</v>
      </c>
      <c r="K19" s="15">
        <f>1650000/100000</f>
        <v>16.5</v>
      </c>
    </row>
    <row r="20" spans="1:11" ht="15">
      <c r="A20" s="14">
        <v>40802</v>
      </c>
      <c r="B20" s="15">
        <f>4400000/100000</f>
        <v>44</v>
      </c>
      <c r="C20" s="15">
        <f t="shared" si="0"/>
        <v>0</v>
      </c>
      <c r="D20" s="15">
        <f>168000/100000</f>
        <v>1.68</v>
      </c>
      <c r="E20" s="15">
        <f>450000/100000</f>
        <v>4.5</v>
      </c>
      <c r="F20" s="15">
        <f>2171000/100000</f>
        <v>21.71</v>
      </c>
      <c r="G20" s="15">
        <f>1835000/100000</f>
        <v>18.35</v>
      </c>
      <c r="H20" s="15">
        <f>2695000/100000</f>
        <v>26.95</v>
      </c>
      <c r="I20" s="15">
        <f>8600000/100000</f>
        <v>86</v>
      </c>
      <c r="J20" s="15">
        <f>1885000/100000</f>
        <v>18.85</v>
      </c>
      <c r="K20" s="15">
        <f>1730000/100000</f>
        <v>17.3</v>
      </c>
    </row>
    <row r="21" spans="1:11" ht="15">
      <c r="A21" s="14">
        <v>40803</v>
      </c>
      <c r="B21" s="15">
        <f>6200000/100000</f>
        <v>62</v>
      </c>
      <c r="C21" s="15">
        <f>160000/100000</f>
        <v>1.6</v>
      </c>
      <c r="D21" s="15">
        <f>224000/100000</f>
        <v>2.24</v>
      </c>
      <c r="E21" s="15">
        <f>530000/100000</f>
        <v>5.3</v>
      </c>
      <c r="F21" s="15">
        <f>2031000/100000</f>
        <v>20.31</v>
      </c>
      <c r="G21" s="15">
        <f>1858000/100000</f>
        <v>18.58</v>
      </c>
      <c r="H21" s="15">
        <f>2332000/100000</f>
        <v>23.32</v>
      </c>
      <c r="I21" s="15">
        <f>9600000/100000</f>
        <v>96</v>
      </c>
      <c r="J21" s="15">
        <f>1943000/100000</f>
        <v>19.43</v>
      </c>
      <c r="K21" s="15">
        <f>1720000/100000</f>
        <v>17.2</v>
      </c>
    </row>
    <row r="22" spans="1:11" ht="15">
      <c r="A22" s="14">
        <v>40804</v>
      </c>
      <c r="B22" s="15">
        <f>5400000/100000</f>
        <v>54</v>
      </c>
      <c r="C22" s="15">
        <f aca="true" t="shared" si="1" ref="C22:C34">0/100000</f>
        <v>0</v>
      </c>
      <c r="D22" s="15">
        <f>260000/100000</f>
        <v>2.6</v>
      </c>
      <c r="E22" s="15">
        <f>560000/100000</f>
        <v>5.6</v>
      </c>
      <c r="F22" s="15">
        <f>1985000/100000</f>
        <v>19.85</v>
      </c>
      <c r="G22" s="15">
        <f>1738000/100000</f>
        <v>17.38</v>
      </c>
      <c r="H22" s="15">
        <f>2493000/100000</f>
        <v>24.93</v>
      </c>
      <c r="I22" s="15">
        <f>8800000/100000</f>
        <v>88</v>
      </c>
      <c r="J22" s="15">
        <f>1752000/100000</f>
        <v>17.52</v>
      </c>
      <c r="K22" s="15">
        <f>1590000/100000</f>
        <v>15.9</v>
      </c>
    </row>
    <row r="23" spans="1:11" ht="15">
      <c r="A23" s="14">
        <v>40805</v>
      </c>
      <c r="B23" s="15">
        <f>4800000/100000</f>
        <v>48</v>
      </c>
      <c r="C23" s="15">
        <f t="shared" si="1"/>
        <v>0</v>
      </c>
      <c r="D23" s="15">
        <f>185000/100000</f>
        <v>1.85</v>
      </c>
      <c r="E23" s="15">
        <f>500000/100000</f>
        <v>5</v>
      </c>
      <c r="F23" s="15">
        <f>1876000/100000</f>
        <v>18.76</v>
      </c>
      <c r="G23" s="15">
        <f>1635000/100000</f>
        <v>16.35</v>
      </c>
      <c r="H23" s="15">
        <f>2276000/100000</f>
        <v>22.76</v>
      </c>
      <c r="I23" s="15">
        <f>9300000/100000</f>
        <v>93</v>
      </c>
      <c r="J23" s="15">
        <f>1741000/100000</f>
        <v>17.41</v>
      </c>
      <c r="K23" s="15">
        <f>1620000/100000</f>
        <v>16.2</v>
      </c>
    </row>
    <row r="24" spans="1:11" ht="15">
      <c r="A24" s="14">
        <v>40806</v>
      </c>
      <c r="B24" s="15">
        <f>4200000/100000</f>
        <v>42</v>
      </c>
      <c r="C24" s="15">
        <f t="shared" si="1"/>
        <v>0</v>
      </c>
      <c r="D24" s="15">
        <f>107000/100000</f>
        <v>1.07</v>
      </c>
      <c r="E24" s="15">
        <f>410000/100000</f>
        <v>4.1</v>
      </c>
      <c r="F24" s="15">
        <f>1886000/100000</f>
        <v>18.86</v>
      </c>
      <c r="G24" s="15">
        <f>1642000/100000</f>
        <v>16.42</v>
      </c>
      <c r="H24" s="15">
        <f>2300000/100000</f>
        <v>23</v>
      </c>
      <c r="I24" s="15">
        <f>9000000/100000</f>
        <v>90</v>
      </c>
      <c r="J24" s="15">
        <f>1686000/100000</f>
        <v>16.86</v>
      </c>
      <c r="K24" s="15">
        <f>1540000/100000</f>
        <v>15.4</v>
      </c>
    </row>
    <row r="25" spans="1:11" ht="15">
      <c r="A25" s="14">
        <v>40807</v>
      </c>
      <c r="B25" s="15">
        <f>3900000/100000</f>
        <v>39</v>
      </c>
      <c r="C25" s="15">
        <f t="shared" si="1"/>
        <v>0</v>
      </c>
      <c r="D25" s="15">
        <f>63000/100000</f>
        <v>0.63</v>
      </c>
      <c r="E25" s="15">
        <f>260000/100000</f>
        <v>2.6</v>
      </c>
      <c r="F25" s="15">
        <f>2034000/100000</f>
        <v>20.34</v>
      </c>
      <c r="G25" s="15">
        <f>1663000/100000</f>
        <v>16.63</v>
      </c>
      <c r="H25" s="15">
        <f>2657000/100000</f>
        <v>26.57</v>
      </c>
      <c r="I25" s="15">
        <f>8500000/100000</f>
        <v>85</v>
      </c>
      <c r="J25" s="15">
        <f>1730000/100000</f>
        <v>17.3</v>
      </c>
      <c r="K25" s="15">
        <f>1630000/100000</f>
        <v>16.3</v>
      </c>
    </row>
    <row r="26" spans="1:11" ht="15">
      <c r="A26" s="14">
        <v>40808</v>
      </c>
      <c r="B26" s="15">
        <f>4900000/100000</f>
        <v>49</v>
      </c>
      <c r="C26" s="15">
        <f t="shared" si="1"/>
        <v>0</v>
      </c>
      <c r="D26" s="15">
        <f>85000/100000</f>
        <v>0.85</v>
      </c>
      <c r="E26" s="15">
        <f>340000/100000</f>
        <v>3.4</v>
      </c>
      <c r="F26" s="15">
        <f>2124000/100000</f>
        <v>21.24</v>
      </c>
      <c r="G26" s="15">
        <f>1576000/100000</f>
        <v>15.76</v>
      </c>
      <c r="H26" s="15">
        <f>2794000/100000</f>
        <v>27.94</v>
      </c>
      <c r="I26" s="15">
        <f>8400000/100000</f>
        <v>84</v>
      </c>
      <c r="J26" s="15">
        <f>1785000/100000</f>
        <v>17.85</v>
      </c>
      <c r="K26" s="15">
        <f>1560000/100000</f>
        <v>15.6</v>
      </c>
    </row>
    <row r="27" spans="1:11" ht="15">
      <c r="A27" s="14">
        <v>40809</v>
      </c>
      <c r="B27" s="15">
        <f>2600000/100000</f>
        <v>26</v>
      </c>
      <c r="C27" s="15">
        <f t="shared" si="1"/>
        <v>0</v>
      </c>
      <c r="D27" s="15">
        <f>81000/100000</f>
        <v>0.81</v>
      </c>
      <c r="E27" s="15">
        <f>350000/100000</f>
        <v>3.5</v>
      </c>
      <c r="F27" s="15">
        <f>2110000/100000</f>
        <v>21.1</v>
      </c>
      <c r="G27" s="15">
        <f>1769000/100000</f>
        <v>17.69</v>
      </c>
      <c r="H27" s="15">
        <f>2559000/100000</f>
        <v>25.59</v>
      </c>
      <c r="I27" s="15">
        <f>8900000/100000</f>
        <v>89</v>
      </c>
      <c r="J27" s="15">
        <f>1891000/100000</f>
        <v>18.91</v>
      </c>
      <c r="K27" s="15">
        <f>1740000/100000</f>
        <v>17.4</v>
      </c>
    </row>
    <row r="28" spans="1:11" ht="15">
      <c r="A28" s="14">
        <v>40810</v>
      </c>
      <c r="B28" s="15">
        <f>4700000/100000</f>
        <v>47</v>
      </c>
      <c r="C28" s="15">
        <f t="shared" si="1"/>
        <v>0</v>
      </c>
      <c r="D28" s="15">
        <f>46000/100000</f>
        <v>0.46</v>
      </c>
      <c r="E28" s="15">
        <f>230000/100000</f>
        <v>2.3</v>
      </c>
      <c r="F28" s="15">
        <f>2203000/100000</f>
        <v>22.03</v>
      </c>
      <c r="G28" s="15">
        <f>1641000/100000</f>
        <v>16.41</v>
      </c>
      <c r="H28" s="15">
        <f>2849000/100000</f>
        <v>28.49</v>
      </c>
      <c r="I28" s="15">
        <f>8700000/100000</f>
        <v>87</v>
      </c>
      <c r="J28" s="15">
        <f>1927000/100000</f>
        <v>19.27</v>
      </c>
      <c r="K28" s="15">
        <f>1640000/100000</f>
        <v>16.4</v>
      </c>
    </row>
    <row r="29" spans="1:11" ht="15">
      <c r="A29" s="14">
        <v>40811</v>
      </c>
      <c r="B29" s="15">
        <f>3700000/100000</f>
        <v>37</v>
      </c>
      <c r="C29" s="15">
        <f t="shared" si="1"/>
        <v>0</v>
      </c>
      <c r="D29" s="15">
        <f>154000/100000</f>
        <v>1.54</v>
      </c>
      <c r="E29" s="15">
        <f>490000/100000</f>
        <v>4.9</v>
      </c>
      <c r="F29" s="15">
        <f>2224000/100000</f>
        <v>22.24</v>
      </c>
      <c r="G29" s="15">
        <f>1833000/100000</f>
        <v>18.33</v>
      </c>
      <c r="H29" s="15">
        <f>2782000/100000</f>
        <v>27.82</v>
      </c>
      <c r="I29" s="15">
        <f>8900000/100000</f>
        <v>89</v>
      </c>
      <c r="J29" s="15">
        <f>1996000/100000</f>
        <v>19.96</v>
      </c>
      <c r="K29" s="15">
        <f>1810000/100000</f>
        <v>18.1</v>
      </c>
    </row>
    <row r="30" spans="1:11" ht="15">
      <c r="A30" s="14">
        <v>40812</v>
      </c>
      <c r="B30" s="15">
        <f>3400000/100000</f>
        <v>34</v>
      </c>
      <c r="C30" s="15">
        <f t="shared" si="1"/>
        <v>0</v>
      </c>
      <c r="D30" s="15">
        <f>260000/100000</f>
        <v>2.6</v>
      </c>
      <c r="E30" s="15">
        <f>480000/100000</f>
        <v>4.8</v>
      </c>
      <c r="F30" s="15">
        <f>2041000/100000</f>
        <v>20.41</v>
      </c>
      <c r="G30" s="15">
        <f>1928000/100000</f>
        <v>19.28</v>
      </c>
      <c r="H30" s="15">
        <f>2244000/100000</f>
        <v>22.44</v>
      </c>
      <c r="I30" s="15">
        <f>9900000/100000</f>
        <v>99</v>
      </c>
      <c r="J30" s="15">
        <f>2000000/100000</f>
        <v>20</v>
      </c>
      <c r="K30" s="15">
        <f>1900000/100000</f>
        <v>19</v>
      </c>
    </row>
    <row r="31" spans="1:11" ht="15">
      <c r="A31" s="14">
        <v>40813</v>
      </c>
      <c r="B31" s="15">
        <f>3900000/100000</f>
        <v>39</v>
      </c>
      <c r="C31" s="15">
        <f t="shared" si="1"/>
        <v>0</v>
      </c>
      <c r="D31" s="15">
        <f>105000/100000</f>
        <v>1.05</v>
      </c>
      <c r="E31" s="15">
        <f>350000/100000</f>
        <v>3.5</v>
      </c>
      <c r="F31" s="15">
        <f>2048000/100000</f>
        <v>20.48</v>
      </c>
      <c r="G31" s="15">
        <f>1798000/100000</f>
        <v>17.98</v>
      </c>
      <c r="H31" s="15">
        <f>2501000/100000</f>
        <v>25.01</v>
      </c>
      <c r="I31" s="15">
        <f>9700000/100000</f>
        <v>97</v>
      </c>
      <c r="J31" s="15">
        <f>1975000/100000</f>
        <v>19.75</v>
      </c>
      <c r="K31" s="15">
        <f>1790000/100000</f>
        <v>17.9</v>
      </c>
    </row>
    <row r="32" spans="1:11" ht="15">
      <c r="A32" s="14">
        <v>40814</v>
      </c>
      <c r="B32" s="15">
        <f>3500000/100000</f>
        <v>35</v>
      </c>
      <c r="C32" s="15">
        <f t="shared" si="1"/>
        <v>0</v>
      </c>
      <c r="D32" s="15">
        <f>92000/100000</f>
        <v>0.92</v>
      </c>
      <c r="E32" s="15">
        <f>320000/100000</f>
        <v>3.2</v>
      </c>
      <c r="F32" s="15">
        <f>2234000/100000</f>
        <v>22.34</v>
      </c>
      <c r="G32" s="15">
        <f>1962000/100000</f>
        <v>19.62</v>
      </c>
      <c r="H32" s="15">
        <f>2751000/100000</f>
        <v>27.51</v>
      </c>
      <c r="I32" s="15">
        <f>9000000/100000</f>
        <v>90</v>
      </c>
      <c r="J32" s="15">
        <f>2026000/100000</f>
        <v>20.26</v>
      </c>
      <c r="K32" s="15">
        <f>1960000/100000</f>
        <v>19.6</v>
      </c>
    </row>
    <row r="33" spans="1:11" ht="15">
      <c r="A33" s="14">
        <v>40815</v>
      </c>
      <c r="B33" s="15">
        <f>3900000/100000</f>
        <v>39</v>
      </c>
      <c r="C33" s="15">
        <f t="shared" si="1"/>
        <v>0</v>
      </c>
      <c r="D33" s="15">
        <f>102000/100000</f>
        <v>1.02</v>
      </c>
      <c r="E33" s="15">
        <f>400000/100000</f>
        <v>4</v>
      </c>
      <c r="F33" s="15">
        <f>2255000/100000</f>
        <v>22.55</v>
      </c>
      <c r="G33" s="15">
        <f>1933000/100000</f>
        <v>19.33</v>
      </c>
      <c r="H33" s="15">
        <f>2764000/100000</f>
        <v>27.64</v>
      </c>
      <c r="I33" s="15">
        <f>9000000/100000</f>
        <v>90</v>
      </c>
      <c r="J33" s="15">
        <f>2048000/100000</f>
        <v>20.48</v>
      </c>
      <c r="K33" s="15">
        <f>1910000/100000</f>
        <v>19.1</v>
      </c>
    </row>
    <row r="34" spans="1:11" ht="15">
      <c r="A34" s="14">
        <v>40816</v>
      </c>
      <c r="B34" s="15">
        <f>4700000/100000</f>
        <v>47</v>
      </c>
      <c r="C34" s="15">
        <f t="shared" si="1"/>
        <v>0</v>
      </c>
      <c r="D34" s="15">
        <f>111000/100000</f>
        <v>1.11</v>
      </c>
      <c r="E34" s="15">
        <f>390000/100000</f>
        <v>3.9</v>
      </c>
      <c r="F34" s="15">
        <f>2238000/100000</f>
        <v>22.38</v>
      </c>
      <c r="G34" s="15">
        <f>1926000/100000</f>
        <v>19.26</v>
      </c>
      <c r="H34" s="15">
        <f>2726000/100000</f>
        <v>27.26</v>
      </c>
      <c r="I34" s="15">
        <f>8600000/100000</f>
        <v>86</v>
      </c>
      <c r="J34" s="15">
        <f>1945000/100000</f>
        <v>19.45</v>
      </c>
      <c r="K34" s="15">
        <f>1830000/100000</f>
        <v>18.3</v>
      </c>
    </row>
  </sheetData>
  <sheetProtection/>
  <mergeCells count="7">
    <mergeCell ref="J3:K3"/>
    <mergeCell ref="J4:K4"/>
    <mergeCell ref="A3:A4"/>
    <mergeCell ref="D3:E3"/>
    <mergeCell ref="D4:E4"/>
    <mergeCell ref="F3:H3"/>
    <mergeCell ref="F4:H4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Pessl Instruments - Fieldclimate - All sensors(000004D5, Sernum. 000004D5)</dc:title>
  <dc:subject/>
  <dc:creator>N-DU@RTE</dc:creator>
  <cp:keywords/>
  <dc:description/>
  <cp:lastModifiedBy>NEILON DUARTE</cp:lastModifiedBy>
  <dcterms:created xsi:type="dcterms:W3CDTF">2011-09-05T18:12:37Z</dcterms:created>
  <dcterms:modified xsi:type="dcterms:W3CDTF">2011-10-05T12:15:04Z</dcterms:modified>
  <cp:category/>
  <cp:version/>
  <cp:contentType/>
  <cp:contentStatus/>
</cp:coreProperties>
</file>