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<sst xmlns="http://schemas.openxmlformats.org/spreadsheetml/2006/main" count="31" uniqueCount="24">
  <si>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</si>
  <si>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</si>
  <si>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</si>
  <si>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</si>
  <si>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</si>
  <si>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</si>
  <si>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</si>
  <si>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</si>
  <si>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</si>
  <si>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</si>
  <si>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</si>
  <si>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</si>
  <si>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</si>
  <si>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</si>
  <si>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</si>
  <si>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</si>
  <si>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Um. Relativa </t>
  </si>
  <si>
    <t>Núcleo de Engenharia de Água e Solo</t>
  </si>
  <si>
    <t xml:space="preserve">       Observações:</t>
  </si>
  <si>
    <t xml:space="preserve">Dados Meteorológicos Diários de Estação Automática </t>
  </si>
  <si>
    <t>(1) Dados brutos conforme download do site da estação (www.pessl.metos.at)</t>
  </si>
  <si>
    <t>(2) O NEAS não se responsabiliza pela qualidade dos dados</t>
  </si>
  <si>
    <t>(3) O uso dos dados e os produtos deles derivados são de inteira responsabildade do usuário</t>
  </si>
  <si>
    <t>Maio de 2010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</si>
</sst>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22" fontId="4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0" fillId="33" borderId="0" xfId="0" applyFill="1" applyBorder="1" applyAlignment="1">
      <alignment horizontal="left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22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2"/>
  <sheetViews>
    <sheetView showGridLines="0" tabSelected="1" zoomScalePageLayoutView="0" workbookViewId="0" topLeftCell="A1">
      <selection activeCell="A6" sqref="A6:K36"/>
    </sheetView>
  </sheetViews>
  <sheetFormatPr defaultColWidth="9.140625" defaultRowHeight="15"/>
  <cols>
    <col min="1" max="1" width="18.7109375" style="7" customWidth="1"/>
    <col min="2" max="4" width="12.7109375" style="7" customWidth="1"/>
    <col min="5" max="5" width="11.00390625" style="7" customWidth="1"/>
    <col min="6" max="8" width="6.7109375" style="7" customWidth="1"/>
    <col min="9" max="11" width="12.7109375" style="7" customWidth="1"/>
  </cols>
  <sheetData>
    <row r="1" spans="1:11" ht="21">
      <c r="A1" s="9" t="s">
        <v>19</v>
      </c>
      <c r="B1" s="10"/>
      <c r="C1" s="11"/>
      <c r="D1" s="11"/>
      <c r="E1" s="11"/>
      <c r="F1" s="11"/>
      <c r="G1" s="12" t="s">
        <v>23</v>
      </c>
      <c r="H1" s="11"/>
      <c r="I1" s="11"/>
      <c r="J1" s="11"/>
      <c r="K1" s="11"/>
    </row>
    <row r="2" spans="1:11" ht="21">
      <c r="A2" s="9" t="s">
        <v>14</v>
      </c>
      <c r="B2" s="10"/>
      <c r="C2" s="11"/>
      <c r="D2" s="11"/>
      <c r="E2" s="11"/>
      <c r="F2" s="11"/>
      <c r="G2" s="12" t="s">
        <v>17</v>
      </c>
      <c r="H2" s="11"/>
      <c r="I2" s="11"/>
      <c r="J2" s="11"/>
      <c r="K2" s="11"/>
    </row>
    <row r="3" spans="1:14" ht="15" customHeight="1">
      <c r="A3" s="20" t="s">
        <v>8</v>
      </c>
      <c r="B3" s="4" t="s">
        <v>9</v>
      </c>
      <c r="C3" s="1" t="s">
        <v>10</v>
      </c>
      <c r="D3" s="16" t="s">
        <v>11</v>
      </c>
      <c r="E3" s="17"/>
      <c r="F3" s="16" t="s">
        <v>13</v>
      </c>
      <c r="G3" s="22"/>
      <c r="H3" s="17"/>
      <c r="I3" s="1" t="s">
        <v>16</v>
      </c>
      <c r="J3" s="16" t="s">
        <v>15</v>
      </c>
      <c r="K3" s="17"/>
      <c r="M3" s="14" t="s">
        <v>18</v>
      </c>
      <c r="N3" s="13"/>
    </row>
    <row r="4" spans="1:13" ht="15">
      <c r="A4" s="21"/>
      <c r="B4" s="2" t="s">
        <v>0</v>
      </c>
      <c r="C4" s="2" t="s">
        <v>1</v>
      </c>
      <c r="D4" s="18" t="s">
        <v>12</v>
      </c>
      <c r="E4" s="19"/>
      <c r="F4" s="18" t="s">
        <v>2</v>
      </c>
      <c r="G4" s="23"/>
      <c r="H4" s="19"/>
      <c r="I4" s="2" t="s">
        <v>3</v>
      </c>
      <c r="J4" s="18" t="s">
        <v>2</v>
      </c>
      <c r="K4" s="19"/>
      <c r="M4" s="15" t="s">
        <v>20</v>
      </c>
    </row>
    <row r="5" spans="1:13" ht="15">
      <c r="A5" s="5"/>
      <c r="B5" s="3" t="s">
        <v>4</v>
      </c>
      <c r="C5" s="3" t="s">
        <v>5</v>
      </c>
      <c r="D5" s="3" t="s">
        <v>4</v>
      </c>
      <c r="E5" s="3" t="s">
        <v>6</v>
      </c>
      <c r="F5" s="3" t="s">
        <v>4</v>
      </c>
      <c r="G5" s="3" t="s">
        <v>7</v>
      </c>
      <c r="H5" s="3" t="s">
        <v>6</v>
      </c>
      <c r="I5" s="3" t="s">
        <v>4</v>
      </c>
      <c r="J5" s="3" t="s">
        <v>4</v>
      </c>
      <c r="K5" s="3" t="s">
        <v>7</v>
      </c>
      <c r="M5" t="s">
        <v>21</v>
      </c>
    </row>
    <row r="6" spans="1:13" ht="15">
      <c r="A6" s="24">
        <v>40299</v>
      </c>
      <c r="B6" s="25">
        <f>6000000/100000</f>
        <v>60</v>
      </c>
      <c r="C6" s="25">
        <f>420000/100000</f>
        <v>4.2</v>
      </c>
      <c r="D6" s="25">
        <f>124000/100000</f>
        <v>1.24</v>
      </c>
      <c r="E6" s="25">
        <f>480000/100000</f>
        <v>4.8</v>
      </c>
      <c r="F6" s="25">
        <f>2338000/100000</f>
        <v>23.38</v>
      </c>
      <c r="G6" s="25">
        <f>2128000/100000</f>
        <v>21.28</v>
      </c>
      <c r="H6" s="25">
        <f>2710000/100000</f>
        <v>27.1</v>
      </c>
      <c r="I6" s="25">
        <f>9200000/100000</f>
        <v>92</v>
      </c>
      <c r="J6" s="25">
        <f>2183000/100000</f>
        <v>21.83</v>
      </c>
      <c r="K6" s="25">
        <f>2120000/100000</f>
        <v>21.2</v>
      </c>
      <c r="M6" t="s">
        <v>22</v>
      </c>
    </row>
    <row r="7" spans="1:11" ht="15">
      <c r="A7" s="24">
        <v>40300</v>
      </c>
      <c r="B7" s="25">
        <f>5400000/100000</f>
        <v>54</v>
      </c>
      <c r="C7" s="25">
        <f>40000/100000</f>
        <v>0.4</v>
      </c>
      <c r="D7" s="25">
        <f>225000/100000</f>
        <v>2.25</v>
      </c>
      <c r="E7" s="25">
        <f>590000/100000</f>
        <v>5.9</v>
      </c>
      <c r="F7" s="25">
        <f>2346000/100000</f>
        <v>23.46</v>
      </c>
      <c r="G7" s="25">
        <f>2146000/100000</f>
        <v>21.46</v>
      </c>
      <c r="H7" s="25">
        <f>2755000/100000</f>
        <v>27.55</v>
      </c>
      <c r="I7" s="25">
        <f>9000000/100000</f>
        <v>90</v>
      </c>
      <c r="J7" s="25">
        <f>2150000/100000</f>
        <v>21.5</v>
      </c>
      <c r="K7" s="25">
        <f>2030000/100000</f>
        <v>20.3</v>
      </c>
    </row>
    <row r="8" spans="1:11" ht="15">
      <c r="A8" s="24">
        <v>40301</v>
      </c>
      <c r="B8" s="25">
        <f>6100000/100000</f>
        <v>61</v>
      </c>
      <c r="C8" s="25">
        <f>1760000/100000</f>
        <v>17.6</v>
      </c>
      <c r="D8" s="25">
        <f>247000/100000</f>
        <v>2.47</v>
      </c>
      <c r="E8" s="25">
        <f>540000/100000</f>
        <v>5.4</v>
      </c>
      <c r="F8" s="25">
        <f>2275000/100000</f>
        <v>22.75</v>
      </c>
      <c r="G8" s="25">
        <f>2021000/100000</f>
        <v>20.21</v>
      </c>
      <c r="H8" s="25">
        <f>2699000/100000</f>
        <v>26.99</v>
      </c>
      <c r="I8" s="25">
        <f>9300000/100000</f>
        <v>93</v>
      </c>
      <c r="J8" s="25">
        <f>2139000/100000</f>
        <v>21.39</v>
      </c>
      <c r="K8" s="25">
        <f>2000000/100000</f>
        <v>20</v>
      </c>
    </row>
    <row r="9" spans="1:11" ht="15">
      <c r="A9" s="24">
        <v>40302</v>
      </c>
      <c r="B9" s="25">
        <f>5800000/100000</f>
        <v>58</v>
      </c>
      <c r="C9" s="25">
        <f>20000/100000</f>
        <v>0.2</v>
      </c>
      <c r="D9" s="25">
        <f>271000/100000</f>
        <v>2.71</v>
      </c>
      <c r="E9" s="25">
        <f>800000/100000</f>
        <v>8</v>
      </c>
      <c r="F9" s="25">
        <f>2342000/100000</f>
        <v>23.42</v>
      </c>
      <c r="G9" s="25">
        <f>2042000/100000</f>
        <v>20.42</v>
      </c>
      <c r="H9" s="25">
        <f>2762000/100000</f>
        <v>27.62</v>
      </c>
      <c r="I9" s="25">
        <f>8500000/100000</f>
        <v>85</v>
      </c>
      <c r="J9" s="25">
        <f>2043000/100000</f>
        <v>20.43</v>
      </c>
      <c r="K9" s="25">
        <f>1870000/100000</f>
        <v>18.7</v>
      </c>
    </row>
    <row r="10" spans="1:11" ht="15">
      <c r="A10" s="24">
        <v>40303</v>
      </c>
      <c r="B10" s="25">
        <f>5000000/100000</f>
        <v>50</v>
      </c>
      <c r="C10" s="25">
        <f>1260000/100000</f>
        <v>12.6</v>
      </c>
      <c r="D10" s="25">
        <f>179000/100000</f>
        <v>1.79</v>
      </c>
      <c r="E10" s="25">
        <f>450000/100000</f>
        <v>4.5</v>
      </c>
      <c r="F10" s="25">
        <f>2300000/100000</f>
        <v>23</v>
      </c>
      <c r="G10" s="25">
        <f>2158000/100000</f>
        <v>21.58</v>
      </c>
      <c r="H10" s="25">
        <f>2597000/100000</f>
        <v>25.97</v>
      </c>
      <c r="I10" s="25">
        <f>9600000/100000</f>
        <v>96</v>
      </c>
      <c r="J10" s="25">
        <f>2219000/100000</f>
        <v>22.19</v>
      </c>
      <c r="K10" s="25">
        <f>2140000/100000</f>
        <v>21.4</v>
      </c>
    </row>
    <row r="11" spans="1:11" ht="15">
      <c r="A11" s="24">
        <v>40304</v>
      </c>
      <c r="B11" s="25">
        <f>7000000/100000</f>
        <v>70</v>
      </c>
      <c r="C11" s="25">
        <f>180000/100000</f>
        <v>1.8</v>
      </c>
      <c r="D11" s="25">
        <f>81000/100000</f>
        <v>0.81</v>
      </c>
      <c r="E11" s="25">
        <f>290000/100000</f>
        <v>2.9</v>
      </c>
      <c r="F11" s="25">
        <f>2455000/100000</f>
        <v>24.55</v>
      </c>
      <c r="G11" s="25">
        <f>2186000/100000</f>
        <v>21.86</v>
      </c>
      <c r="H11" s="25">
        <f>2928000/100000</f>
        <v>29.28</v>
      </c>
      <c r="I11" s="25">
        <f>8900000/100000</f>
        <v>89</v>
      </c>
      <c r="J11" s="25">
        <f>2227000/100000</f>
        <v>22.27</v>
      </c>
      <c r="K11" s="25">
        <f>2110000/100000</f>
        <v>21.1</v>
      </c>
    </row>
    <row r="12" spans="1:11" ht="15">
      <c r="A12" s="24">
        <v>40305</v>
      </c>
      <c r="B12" s="25">
        <f>7400000/100000</f>
        <v>74</v>
      </c>
      <c r="C12" s="25">
        <f>40000/100000</f>
        <v>0.4</v>
      </c>
      <c r="D12" s="25">
        <f>74000/100000</f>
        <v>0.74</v>
      </c>
      <c r="E12" s="25">
        <f>310000/100000</f>
        <v>3.1</v>
      </c>
      <c r="F12" s="25">
        <f>2416000/100000</f>
        <v>24.16</v>
      </c>
      <c r="G12" s="25">
        <f>2121000/100000</f>
        <v>21.21</v>
      </c>
      <c r="H12" s="25">
        <f>2962000/100000</f>
        <v>29.62</v>
      </c>
      <c r="I12" s="25">
        <f>8600000/100000</f>
        <v>86</v>
      </c>
      <c r="J12" s="25">
        <f>2132000/100000</f>
        <v>21.32</v>
      </c>
      <c r="K12" s="25">
        <f>1940000/100000</f>
        <v>19.4</v>
      </c>
    </row>
    <row r="13" spans="1:11" ht="15">
      <c r="A13" s="24">
        <v>40306</v>
      </c>
      <c r="B13" s="25">
        <f>7400000/100000</f>
        <v>74</v>
      </c>
      <c r="C13" s="25">
        <f>40000/100000</f>
        <v>0.4</v>
      </c>
      <c r="D13" s="25">
        <f>86000/100000</f>
        <v>0.86</v>
      </c>
      <c r="E13" s="25">
        <f>330000/100000</f>
        <v>3.3</v>
      </c>
      <c r="F13" s="25">
        <f>2423000/100000</f>
        <v>24.23</v>
      </c>
      <c r="G13" s="25">
        <f>2018000/100000</f>
        <v>20.18</v>
      </c>
      <c r="H13" s="25">
        <f>2954000/100000</f>
        <v>29.54</v>
      </c>
      <c r="I13" s="25">
        <f>8500000/100000</f>
        <v>85</v>
      </c>
      <c r="J13" s="25">
        <f>2109000/100000</f>
        <v>21.09</v>
      </c>
      <c r="K13" s="25">
        <f>1910000/100000</f>
        <v>19.1</v>
      </c>
    </row>
    <row r="14" spans="1:11" ht="15">
      <c r="A14" s="24">
        <v>40307</v>
      </c>
      <c r="B14" s="25">
        <f>5700000/100000</f>
        <v>57</v>
      </c>
      <c r="C14" s="25">
        <f>180000/100000</f>
        <v>1.8</v>
      </c>
      <c r="D14" s="25">
        <f>50000/100000</f>
        <v>0.5</v>
      </c>
      <c r="E14" s="25">
        <f>290000/100000</f>
        <v>2.9</v>
      </c>
      <c r="F14" s="25">
        <f>2437000/100000</f>
        <v>24.37</v>
      </c>
      <c r="G14" s="25">
        <f>2147000/100000</f>
        <v>21.47</v>
      </c>
      <c r="H14" s="25">
        <f>2881000/100000</f>
        <v>28.81</v>
      </c>
      <c r="I14" s="25">
        <f>9100000/100000</f>
        <v>91</v>
      </c>
      <c r="J14" s="25">
        <f>2245000/100000</f>
        <v>22.45</v>
      </c>
      <c r="K14" s="25">
        <f>2080000/100000</f>
        <v>20.8</v>
      </c>
    </row>
    <row r="15" spans="1:11" ht="15">
      <c r="A15" s="24">
        <v>40308</v>
      </c>
      <c r="B15" s="25">
        <f>6900000/100000</f>
        <v>69</v>
      </c>
      <c r="C15" s="25">
        <f>20000/100000</f>
        <v>0.2</v>
      </c>
      <c r="D15" s="25">
        <f>65000/100000</f>
        <v>0.65</v>
      </c>
      <c r="E15" s="25">
        <f>260000/100000</f>
        <v>2.6</v>
      </c>
      <c r="F15" s="25">
        <f>2462000/100000</f>
        <v>24.62</v>
      </c>
      <c r="G15" s="25">
        <f>2032000/100000</f>
        <v>20.32</v>
      </c>
      <c r="H15" s="25">
        <f>2943000/100000</f>
        <v>29.43</v>
      </c>
      <c r="I15" s="25">
        <f>8700000/100000</f>
        <v>87</v>
      </c>
      <c r="J15" s="25">
        <f>2180000/100000</f>
        <v>21.8</v>
      </c>
      <c r="K15" s="25">
        <f>1970000/100000</f>
        <v>19.7</v>
      </c>
    </row>
    <row r="16" spans="1:11" ht="15">
      <c r="A16" s="24">
        <v>40309</v>
      </c>
      <c r="B16" s="25">
        <f>6200000/100000</f>
        <v>62</v>
      </c>
      <c r="C16" s="25">
        <f>200000/100000</f>
        <v>2</v>
      </c>
      <c r="D16" s="25">
        <f>83000/100000</f>
        <v>0.83</v>
      </c>
      <c r="E16" s="25">
        <f>340000/100000</f>
        <v>3.4</v>
      </c>
      <c r="F16" s="25">
        <f>2467000/100000</f>
        <v>24.67</v>
      </c>
      <c r="G16" s="25">
        <f>2112000/100000</f>
        <v>21.12</v>
      </c>
      <c r="H16" s="25">
        <f>2988000/100000</f>
        <v>29.88</v>
      </c>
      <c r="I16" s="25">
        <f>8900000/100000</f>
        <v>89</v>
      </c>
      <c r="J16" s="25">
        <f>2247000/100000</f>
        <v>22.47</v>
      </c>
      <c r="K16" s="25">
        <f>2110000/100000</f>
        <v>21.1</v>
      </c>
    </row>
    <row r="17" spans="1:11" ht="15">
      <c r="A17" s="24">
        <v>40310</v>
      </c>
      <c r="B17" s="25">
        <f>2400000/100000</f>
        <v>24</v>
      </c>
      <c r="C17" s="25">
        <f>120000/100000</f>
        <v>1.2</v>
      </c>
      <c r="D17" s="25">
        <f>45000/100000</f>
        <v>0.45</v>
      </c>
      <c r="E17" s="25">
        <f>260000/100000</f>
        <v>2.6</v>
      </c>
      <c r="F17" s="25">
        <f>2414000/100000</f>
        <v>24.14</v>
      </c>
      <c r="G17" s="25">
        <f>2198000/100000</f>
        <v>21.98</v>
      </c>
      <c r="H17" s="25">
        <f>2933000/100000</f>
        <v>29.33</v>
      </c>
      <c r="I17" s="25">
        <f>9300000/100000</f>
        <v>93</v>
      </c>
      <c r="J17" s="25">
        <f>2275000/100000</f>
        <v>22.75</v>
      </c>
      <c r="K17" s="25">
        <f>2190000/100000</f>
        <v>21.9</v>
      </c>
    </row>
    <row r="18" spans="1:11" ht="15">
      <c r="A18" s="24">
        <v>40311</v>
      </c>
      <c r="B18" s="25">
        <f>6100000/100000</f>
        <v>61</v>
      </c>
      <c r="C18" s="25">
        <f>20000/100000</f>
        <v>0.2</v>
      </c>
      <c r="D18" s="25">
        <f>87000/100000</f>
        <v>0.87</v>
      </c>
      <c r="E18" s="25">
        <f>290000/100000</f>
        <v>2.9</v>
      </c>
      <c r="F18" s="25">
        <f>2576000/100000</f>
        <v>25.76</v>
      </c>
      <c r="G18" s="25">
        <f>2206000/100000</f>
        <v>22.06</v>
      </c>
      <c r="H18" s="25">
        <f>3053000/100000</f>
        <v>30.53</v>
      </c>
      <c r="I18" s="25">
        <f>8800000/100000</f>
        <v>88</v>
      </c>
      <c r="J18" s="25">
        <f>2327000/100000</f>
        <v>23.27</v>
      </c>
      <c r="K18" s="25">
        <f>2200000/100000</f>
        <v>22</v>
      </c>
    </row>
    <row r="19" spans="1:11" ht="15">
      <c r="A19" s="24">
        <v>40312</v>
      </c>
      <c r="B19" s="25">
        <f>4300000/100000</f>
        <v>43</v>
      </c>
      <c r="C19" s="25">
        <f>500000/100000</f>
        <v>5</v>
      </c>
      <c r="D19" s="25">
        <f>94000/100000</f>
        <v>0.94</v>
      </c>
      <c r="E19" s="25">
        <f>380000/100000</f>
        <v>3.8</v>
      </c>
      <c r="F19" s="25">
        <f>2524000/100000</f>
        <v>25.24</v>
      </c>
      <c r="G19" s="25">
        <f>2388000/100000</f>
        <v>23.88</v>
      </c>
      <c r="H19" s="25">
        <f>2863000/100000</f>
        <v>28.63</v>
      </c>
      <c r="I19" s="25">
        <f>9600000/100000</f>
        <v>96</v>
      </c>
      <c r="J19" s="25">
        <f>2427000/100000</f>
        <v>24.27</v>
      </c>
      <c r="K19" s="25">
        <f>2350000/100000</f>
        <v>23.5</v>
      </c>
    </row>
    <row r="20" spans="1:11" ht="15">
      <c r="A20" s="24">
        <v>40313</v>
      </c>
      <c r="B20" s="25">
        <f>6100000/100000</f>
        <v>61</v>
      </c>
      <c r="C20" s="25">
        <f>1060000/100000</f>
        <v>10.6</v>
      </c>
      <c r="D20" s="25">
        <f>204000/100000</f>
        <v>2.04</v>
      </c>
      <c r="E20" s="25">
        <f>530000/100000</f>
        <v>5.3</v>
      </c>
      <c r="F20" s="25">
        <f>2495000/100000</f>
        <v>24.95</v>
      </c>
      <c r="G20" s="25">
        <f>2297000/100000</f>
        <v>22.97</v>
      </c>
      <c r="H20" s="25">
        <f>2843000/100000</f>
        <v>28.43</v>
      </c>
      <c r="I20" s="25">
        <f>9300000/100000</f>
        <v>93</v>
      </c>
      <c r="J20" s="25">
        <f>2352000/100000</f>
        <v>23.52</v>
      </c>
      <c r="K20" s="25">
        <f>2230000/100000</f>
        <v>22.3</v>
      </c>
    </row>
    <row r="21" spans="1:11" ht="15">
      <c r="A21" s="24">
        <v>40314</v>
      </c>
      <c r="B21" s="25">
        <f>4600000/100000</f>
        <v>46</v>
      </c>
      <c r="C21" s="25">
        <f>900000/100000</f>
        <v>9</v>
      </c>
      <c r="D21" s="25">
        <f>273000/100000</f>
        <v>2.73</v>
      </c>
      <c r="E21" s="25">
        <f>570000/100000</f>
        <v>5.7</v>
      </c>
      <c r="F21" s="25">
        <f>2422000/100000</f>
        <v>24.22</v>
      </c>
      <c r="G21" s="25">
        <f>2260000/100000</f>
        <v>22.6</v>
      </c>
      <c r="H21" s="25">
        <f>2691000/100000</f>
        <v>26.91</v>
      </c>
      <c r="I21" s="25">
        <f>9200000/100000</f>
        <v>92</v>
      </c>
      <c r="J21" s="25">
        <f>2269000/100000</f>
        <v>22.69</v>
      </c>
      <c r="K21" s="25">
        <f>2170000/100000</f>
        <v>21.7</v>
      </c>
    </row>
    <row r="22" spans="1:11" ht="15">
      <c r="A22" s="24">
        <v>40315</v>
      </c>
      <c r="B22" s="25">
        <f>3900000/100000</f>
        <v>39</v>
      </c>
      <c r="C22" s="25">
        <f>200000/100000</f>
        <v>2</v>
      </c>
      <c r="D22" s="25">
        <f>143000/100000</f>
        <v>1.43</v>
      </c>
      <c r="E22" s="25">
        <f>400000/100000</f>
        <v>4</v>
      </c>
      <c r="F22" s="25">
        <f>2328000/100000</f>
        <v>23.28</v>
      </c>
      <c r="G22" s="25">
        <f>2157000/100000</f>
        <v>21.57</v>
      </c>
      <c r="H22" s="25">
        <f>2633000/100000</f>
        <v>26.33</v>
      </c>
      <c r="I22" s="25">
        <f>9500000/100000</f>
        <v>95</v>
      </c>
      <c r="J22" s="25">
        <f>2223000/100000</f>
        <v>22.23</v>
      </c>
      <c r="K22" s="25">
        <f>2130000/100000</f>
        <v>21.3</v>
      </c>
    </row>
    <row r="23" spans="1:11" ht="15">
      <c r="A23" s="24">
        <v>40316</v>
      </c>
      <c r="B23" s="25">
        <f>3800000/100000</f>
        <v>38</v>
      </c>
      <c r="C23" s="25">
        <f>240000/100000</f>
        <v>2.4</v>
      </c>
      <c r="D23" s="25">
        <f>162000/100000</f>
        <v>1.62</v>
      </c>
      <c r="E23" s="25">
        <f>590000/100000</f>
        <v>5.9</v>
      </c>
      <c r="F23" s="25">
        <f>2353000/100000</f>
        <v>23.53</v>
      </c>
      <c r="G23" s="25">
        <f>2154000/100000</f>
        <v>21.54</v>
      </c>
      <c r="H23" s="25">
        <f>2640000/100000</f>
        <v>26.4</v>
      </c>
      <c r="I23" s="25">
        <f>9100000/100000</f>
        <v>91</v>
      </c>
      <c r="J23" s="25">
        <f>2170000/100000</f>
        <v>21.7</v>
      </c>
      <c r="K23" s="25">
        <f>2030000/100000</f>
        <v>20.3</v>
      </c>
    </row>
    <row r="24" spans="1:11" ht="15">
      <c r="A24" s="24">
        <v>40317</v>
      </c>
      <c r="B24" s="25">
        <f>4800000/100000</f>
        <v>48</v>
      </c>
      <c r="C24" s="25">
        <f>0/100000</f>
        <v>0</v>
      </c>
      <c r="D24" s="25">
        <f>126000/100000</f>
        <v>1.26</v>
      </c>
      <c r="E24" s="25">
        <f>380000/100000</f>
        <v>3.8</v>
      </c>
      <c r="F24" s="25">
        <f>2375000/100000</f>
        <v>23.75</v>
      </c>
      <c r="G24" s="25">
        <f>2104000/100000</f>
        <v>21.04</v>
      </c>
      <c r="H24" s="25">
        <f>2755000/100000</f>
        <v>27.55</v>
      </c>
      <c r="I24" s="25">
        <f>8600000/100000</f>
        <v>86</v>
      </c>
      <c r="J24" s="25">
        <f>2107000/100000</f>
        <v>21.07</v>
      </c>
      <c r="K24" s="25">
        <f>1970000/100000</f>
        <v>19.7</v>
      </c>
    </row>
    <row r="25" spans="1:11" ht="15">
      <c r="A25" s="24">
        <v>40318</v>
      </c>
      <c r="B25" s="25">
        <f>6600000/100000</f>
        <v>66</v>
      </c>
      <c r="C25" s="25">
        <f>20000/100000</f>
        <v>0.2</v>
      </c>
      <c r="D25" s="25">
        <f>57000/100000</f>
        <v>0.57</v>
      </c>
      <c r="E25" s="25">
        <f>280000/100000</f>
        <v>2.8</v>
      </c>
      <c r="F25" s="25">
        <f>2348000/100000</f>
        <v>23.48</v>
      </c>
      <c r="G25" s="25">
        <f>1982000/100000</f>
        <v>19.82</v>
      </c>
      <c r="H25" s="25">
        <f>2856000/100000</f>
        <v>28.56</v>
      </c>
      <c r="I25" s="25">
        <f>8400000/100000</f>
        <v>84</v>
      </c>
      <c r="J25" s="25">
        <f>2013000/100000</f>
        <v>20.13</v>
      </c>
      <c r="K25" s="25">
        <f>1900000/100000</f>
        <v>19</v>
      </c>
    </row>
    <row r="26" spans="1:11" ht="15">
      <c r="A26" s="24">
        <v>40319</v>
      </c>
      <c r="B26" s="25">
        <f>6800000/100000</f>
        <v>68</v>
      </c>
      <c r="C26" s="25">
        <f>20000/100000</f>
        <v>0.2</v>
      </c>
      <c r="D26" s="25">
        <f>47000/100000</f>
        <v>0.47</v>
      </c>
      <c r="E26" s="25">
        <f>290000/100000</f>
        <v>2.9</v>
      </c>
      <c r="F26" s="25">
        <f>2357000/100000</f>
        <v>23.57</v>
      </c>
      <c r="G26" s="25">
        <f>1916000/100000</f>
        <v>19.16</v>
      </c>
      <c r="H26" s="25">
        <f>2863000/100000</f>
        <v>28.63</v>
      </c>
      <c r="I26" s="25">
        <f>8400000/100000</f>
        <v>84</v>
      </c>
      <c r="J26" s="25">
        <f>2022000/100000</f>
        <v>20.22</v>
      </c>
      <c r="K26" s="25">
        <f>1770000/100000</f>
        <v>17.7</v>
      </c>
    </row>
    <row r="27" spans="1:11" ht="15">
      <c r="A27" s="24">
        <v>40320</v>
      </c>
      <c r="B27" s="25">
        <f>5100000/100000</f>
        <v>51</v>
      </c>
      <c r="C27" s="25">
        <f>20000/100000</f>
        <v>0.2</v>
      </c>
      <c r="D27" s="25">
        <f>84000/100000</f>
        <v>0.84</v>
      </c>
      <c r="E27" s="25">
        <f>340000/100000</f>
        <v>3.4</v>
      </c>
      <c r="F27" s="25">
        <f>2442000/100000</f>
        <v>24.42</v>
      </c>
      <c r="G27" s="25">
        <f>2083000/100000</f>
        <v>20.83</v>
      </c>
      <c r="H27" s="25">
        <f>2953000/100000</f>
        <v>29.53</v>
      </c>
      <c r="I27" s="25">
        <f>9100000/100000</f>
        <v>91</v>
      </c>
      <c r="J27" s="25">
        <f>2251000/100000</f>
        <v>22.51</v>
      </c>
      <c r="K27" s="25">
        <f>2080000/100000</f>
        <v>20.8</v>
      </c>
    </row>
    <row r="28" spans="1:11" ht="15">
      <c r="A28" s="24">
        <v>40321</v>
      </c>
      <c r="B28" s="25">
        <f>5700000/100000</f>
        <v>57</v>
      </c>
      <c r="C28" s="25">
        <f>20000/100000</f>
        <v>0.2</v>
      </c>
      <c r="D28" s="25">
        <f>97000/100000</f>
        <v>0.97</v>
      </c>
      <c r="E28" s="25">
        <f>350000/100000</f>
        <v>3.5</v>
      </c>
      <c r="F28" s="25">
        <f>2458000/100000</f>
        <v>24.58</v>
      </c>
      <c r="G28" s="25">
        <f>2182000/100000</f>
        <v>21.82</v>
      </c>
      <c r="H28" s="25">
        <f>2870000/100000</f>
        <v>28.7</v>
      </c>
      <c r="I28" s="25">
        <f>9200000/100000</f>
        <v>92</v>
      </c>
      <c r="J28" s="25">
        <f>2285000/100000</f>
        <v>22.85</v>
      </c>
      <c r="K28" s="25">
        <f>2180000/100000</f>
        <v>21.8</v>
      </c>
    </row>
    <row r="29" spans="1:11" ht="15">
      <c r="A29" s="24">
        <v>40322</v>
      </c>
      <c r="B29" s="25">
        <f>5900000/100000</f>
        <v>59</v>
      </c>
      <c r="C29" s="25">
        <f>20000/100000</f>
        <v>0.2</v>
      </c>
      <c r="D29" s="25">
        <f>80000/100000</f>
        <v>0.8</v>
      </c>
      <c r="E29" s="25">
        <f>290000/100000</f>
        <v>2.9</v>
      </c>
      <c r="F29" s="25">
        <f>2470000/100000</f>
        <v>24.7</v>
      </c>
      <c r="G29" s="25">
        <f>2183000/100000</f>
        <v>21.83</v>
      </c>
      <c r="H29" s="25">
        <f>2929000/100000</f>
        <v>29.29</v>
      </c>
      <c r="I29" s="25">
        <f>9000000/100000</f>
        <v>90</v>
      </c>
      <c r="J29" s="25">
        <f>2251000/100000</f>
        <v>22.51</v>
      </c>
      <c r="K29" s="25">
        <f>2130000/100000</f>
        <v>21.3</v>
      </c>
    </row>
    <row r="30" spans="1:11" ht="15">
      <c r="A30" s="24">
        <v>40323</v>
      </c>
      <c r="B30" s="25">
        <f>4500000/100000</f>
        <v>45</v>
      </c>
      <c r="C30" s="25">
        <f>80000/100000</f>
        <v>0.8</v>
      </c>
      <c r="D30" s="25">
        <f>95000/100000</f>
        <v>0.95</v>
      </c>
      <c r="E30" s="25">
        <f>560000/100000</f>
        <v>5.6</v>
      </c>
      <c r="F30" s="25">
        <f>2384000/100000</f>
        <v>23.84</v>
      </c>
      <c r="G30" s="25">
        <f>2189000/100000</f>
        <v>21.89</v>
      </c>
      <c r="H30" s="25">
        <f>2745000/100000</f>
        <v>27.45</v>
      </c>
      <c r="I30" s="25">
        <f>9300000/100000</f>
        <v>93</v>
      </c>
      <c r="J30" s="25">
        <f>2243000/100000</f>
        <v>22.43</v>
      </c>
      <c r="K30" s="25">
        <f>2110000/100000</f>
        <v>21.1</v>
      </c>
    </row>
    <row r="31" spans="1:11" ht="15">
      <c r="A31" s="24">
        <v>40324</v>
      </c>
      <c r="B31" s="25">
        <f>3900000/100000</f>
        <v>39</v>
      </c>
      <c r="C31" s="25">
        <f>40000/100000</f>
        <v>0.4</v>
      </c>
      <c r="D31" s="25">
        <f>80000/100000</f>
        <v>0.8</v>
      </c>
      <c r="E31" s="25">
        <f>350000/100000</f>
        <v>3.5</v>
      </c>
      <c r="F31" s="25">
        <f>2318000/100000</f>
        <v>23.18</v>
      </c>
      <c r="G31" s="25">
        <f>2053000/100000</f>
        <v>20.53</v>
      </c>
      <c r="H31" s="25">
        <f>2883000/100000</f>
        <v>28.83</v>
      </c>
      <c r="I31" s="25">
        <f>9100000/100000</f>
        <v>91</v>
      </c>
      <c r="J31" s="25">
        <f>2134000/100000</f>
        <v>21.34</v>
      </c>
      <c r="K31" s="25">
        <f>2020000/100000</f>
        <v>20.2</v>
      </c>
    </row>
    <row r="32" spans="1:11" ht="15">
      <c r="A32" s="24">
        <v>40325</v>
      </c>
      <c r="B32" s="25">
        <f>4800000/100000</f>
        <v>48</v>
      </c>
      <c r="C32" s="25">
        <f>20000/100000</f>
        <v>0.2</v>
      </c>
      <c r="D32" s="25">
        <f>127000/100000</f>
        <v>1.27</v>
      </c>
      <c r="E32" s="25">
        <f>480000/100000</f>
        <v>4.8</v>
      </c>
      <c r="F32" s="25">
        <f>2330000/100000</f>
        <v>23.3</v>
      </c>
      <c r="G32" s="25">
        <f>2025000/100000</f>
        <v>20.25</v>
      </c>
      <c r="H32" s="25">
        <f>2833000/100000</f>
        <v>28.33</v>
      </c>
      <c r="I32" s="25">
        <f>8700000/100000</f>
        <v>87</v>
      </c>
      <c r="J32" s="25">
        <f>2071000/100000</f>
        <v>20.71</v>
      </c>
      <c r="K32" s="25">
        <f>1960000/100000</f>
        <v>19.6</v>
      </c>
    </row>
    <row r="33" spans="1:11" ht="15">
      <c r="A33" s="24">
        <v>40326</v>
      </c>
      <c r="B33" s="25">
        <f>5800000/100000</f>
        <v>58</v>
      </c>
      <c r="C33" s="25">
        <f>20000/100000</f>
        <v>0.2</v>
      </c>
      <c r="D33" s="25">
        <f>127000/100000</f>
        <v>1.27</v>
      </c>
      <c r="E33" s="25">
        <f>460000/100000</f>
        <v>4.6</v>
      </c>
      <c r="F33" s="25">
        <f>2313000/100000</f>
        <v>23.13</v>
      </c>
      <c r="G33" s="25">
        <f>1909000/100000</f>
        <v>19.09</v>
      </c>
      <c r="H33" s="25">
        <f>2816000/100000</f>
        <v>28.16</v>
      </c>
      <c r="I33" s="25">
        <f>8700000/100000</f>
        <v>87</v>
      </c>
      <c r="J33" s="25">
        <f>2053000/100000</f>
        <v>20.53</v>
      </c>
      <c r="K33" s="25">
        <f>1890000/100000</f>
        <v>18.9</v>
      </c>
    </row>
    <row r="34" spans="1:11" ht="15">
      <c r="A34" s="24">
        <v>40327</v>
      </c>
      <c r="B34" s="25">
        <f>5000000/100000</f>
        <v>50</v>
      </c>
      <c r="C34" s="25">
        <f>20000/100000</f>
        <v>0.2</v>
      </c>
      <c r="D34" s="25">
        <f>220000/100000</f>
        <v>2.2</v>
      </c>
      <c r="E34" s="25">
        <f>530000/100000</f>
        <v>5.3</v>
      </c>
      <c r="F34" s="25">
        <f>2335000/100000</f>
        <v>23.35</v>
      </c>
      <c r="G34" s="25">
        <f>2000000/100000</f>
        <v>20</v>
      </c>
      <c r="H34" s="25">
        <f>2742000/100000</f>
        <v>27.42</v>
      </c>
      <c r="I34" s="25">
        <f>8500000/100000</f>
        <v>85</v>
      </c>
      <c r="J34" s="25">
        <f>2043000/100000</f>
        <v>20.43</v>
      </c>
      <c r="K34" s="25">
        <f>1910000/100000</f>
        <v>19.1</v>
      </c>
    </row>
    <row r="35" spans="1:11" ht="15">
      <c r="A35" s="24">
        <v>40328</v>
      </c>
      <c r="B35" s="25">
        <f>4000000/100000</f>
        <v>40</v>
      </c>
      <c r="C35" s="25">
        <f>60000/100000</f>
        <v>0.6</v>
      </c>
      <c r="D35" s="25">
        <f>103000/100000</f>
        <v>1.03</v>
      </c>
      <c r="E35" s="25">
        <f>320000/100000</f>
        <v>3.2</v>
      </c>
      <c r="F35" s="25">
        <f>2326000/100000</f>
        <v>23.26</v>
      </c>
      <c r="G35" s="25">
        <f>2088000/100000</f>
        <v>20.88</v>
      </c>
      <c r="H35" s="25">
        <f>2878000/100000</f>
        <v>28.78</v>
      </c>
      <c r="I35" s="25">
        <f>9100000/100000</f>
        <v>91</v>
      </c>
      <c r="J35" s="25">
        <f>2151000/100000</f>
        <v>21.51</v>
      </c>
      <c r="K35" s="25">
        <f>1990000/100000</f>
        <v>19.9</v>
      </c>
    </row>
    <row r="36" spans="1:11" ht="15">
      <c r="A36" s="24">
        <v>40329</v>
      </c>
      <c r="B36" s="25">
        <f>6000000/100000</f>
        <v>60</v>
      </c>
      <c r="C36" s="25">
        <f>420000/100000</f>
        <v>4.2</v>
      </c>
      <c r="D36" s="25">
        <f>124000/100000</f>
        <v>1.24</v>
      </c>
      <c r="E36" s="25">
        <f>480000/100000</f>
        <v>4.8</v>
      </c>
      <c r="F36" s="25">
        <f>2338000/100000</f>
        <v>23.38</v>
      </c>
      <c r="G36" s="25">
        <f>2128000/100000</f>
        <v>21.28</v>
      </c>
      <c r="H36" s="25">
        <f>2710000/100000</f>
        <v>27.1</v>
      </c>
      <c r="I36" s="25">
        <f>9200000/100000</f>
        <v>92</v>
      </c>
      <c r="J36" s="25">
        <f>2183000/100000</f>
        <v>21.83</v>
      </c>
      <c r="K36" s="25">
        <f>2120000/100000</f>
        <v>21.2</v>
      </c>
    </row>
    <row r="37" spans="1:11" ht="15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5">
      <c r="A40" s="6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">
      <c r="A42" s="6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">
      <c r="A44" s="6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5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5">
      <c r="A47" s="6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5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5">
      <c r="A49" s="6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5">
      <c r="A50" s="6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5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5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5">
      <c r="A53" s="6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5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">
      <c r="A55" s="6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5">
      <c r="A56" s="6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5">
      <c r="A57" s="6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5">
      <c r="A58" s="6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5">
      <c r="A59" s="6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5">
      <c r="A60" s="6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5">
      <c r="A61" s="6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5">
      <c r="A62" s="6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5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5">
      <c r="A64" s="6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5">
      <c r="A65" s="6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5">
      <c r="A66" s="6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5">
      <c r="A67" s="6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5">
      <c r="A68" s="6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5">
      <c r="A69" s="6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5">
      <c r="A70" s="6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">
      <c r="A71" s="6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5">
      <c r="A72" s="6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">
      <c r="A73" s="6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5">
      <c r="A74" s="6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5">
      <c r="A75" s="6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5">
      <c r="A76" s="6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5">
      <c r="A77" s="6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5">
      <c r="A78" s="6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">
      <c r="A79" s="6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">
      <c r="A80" s="6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5">
      <c r="A81" s="6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">
      <c r="A82" s="6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5">
      <c r="A83" s="6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5">
      <c r="A84" s="6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">
      <c r="A85" s="6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5">
      <c r="A86" s="6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5">
      <c r="A87" s="6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">
      <c r="A88" s="6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">
      <c r="A89" s="6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5">
      <c r="A90" s="6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5">
      <c r="A91" s="6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5">
      <c r="A92" s="6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5">
      <c r="A93" s="6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">
      <c r="A94" s="6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5">
      <c r="A95" s="6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5">
      <c r="A96" s="6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5">
      <c r="A97" s="6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5">
      <c r="A98" s="6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5">
      <c r="A99" s="6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5">
      <c r="A100" s="6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5">
      <c r="A101" s="6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5">
      <c r="A102" s="6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5">
      <c r="A103" s="6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5">
      <c r="A104" s="6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5">
      <c r="A105" s="6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5">
      <c r="A106" s="6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5">
      <c r="A107" s="6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5">
      <c r="A108" s="6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5">
      <c r="A109" s="6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">
      <c r="A110" s="6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5">
      <c r="A111" s="6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5">
      <c r="A112" s="6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5">
      <c r="A113" s="6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5">
      <c r="A114" s="6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5">
      <c r="A115" s="6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5">
      <c r="A116" s="6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">
      <c r="A117" s="6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5">
      <c r="A118" s="6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5">
      <c r="A119" s="6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5">
      <c r="A120" s="6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5">
      <c r="A121" s="6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5">
      <c r="A122" s="6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5">
      <c r="A123" s="6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5">
      <c r="A124" s="6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">
      <c r="A125" s="6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5">
      <c r="A126" s="6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5">
      <c r="A127" s="6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5">
      <c r="A128" s="6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5">
      <c r="A129" s="6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5">
      <c r="A130" s="6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5">
      <c r="A131" s="6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5">
      <c r="A132" s="6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5">
      <c r="A133" s="6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5">
      <c r="A134" s="6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5">
      <c r="A135" s="6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5">
      <c r="A136" s="6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5">
      <c r="A137" s="6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5">
      <c r="A138" s="6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5">
      <c r="A139" s="6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5">
      <c r="A140" s="6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5">
      <c r="A141" s="6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5">
      <c r="A142" s="6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5">
      <c r="A143" s="6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5">
      <c r="A144" s="6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5">
      <c r="A145" s="6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5">
      <c r="A146" s="6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5">
      <c r="A147" s="6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5">
      <c r="A148" s="6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5">
      <c r="A149" s="6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5">
      <c r="A150" s="6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5">
      <c r="A151" s="6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5">
      <c r="A152" s="6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5">
      <c r="A153" s="6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">
      <c r="A154" s="6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5">
      <c r="A155" s="6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5">
      <c r="A156" s="6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5">
      <c r="A157" s="6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5">
      <c r="A158" s="6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5">
      <c r="A159" s="6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5">
      <c r="A160" s="6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5">
      <c r="A161" s="6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5">
      <c r="A162" s="6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5">
      <c r="A163" s="6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5">
      <c r="A164" s="6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5">
      <c r="A165" s="6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5">
      <c r="A166" s="6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5">
      <c r="A167" s="6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5">
      <c r="A168" s="6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">
      <c r="A169" s="6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5">
      <c r="A170" s="6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5">
      <c r="A171" s="6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5">
      <c r="A172" s="6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5">
      <c r="A173" s="6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5">
      <c r="A174" s="6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5">
      <c r="A175" s="6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5">
      <c r="A176" s="6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5">
      <c r="A177" s="6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5">
      <c r="A178" s="6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5">
      <c r="A179" s="6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5">
      <c r="A180" s="6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5">
      <c r="A181" s="6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5">
      <c r="A182" s="6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5">
      <c r="A183" s="6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">
      <c r="A184" s="6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5">
      <c r="A185" s="6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5">
      <c r="A186" s="6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5">
      <c r="A187" s="6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5">
      <c r="A188" s="6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5">
      <c r="A189" s="6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5">
      <c r="A190" s="6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5">
      <c r="A191" s="6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5">
      <c r="A192" s="6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5">
      <c r="A193" s="6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5">
      <c r="A194" s="6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5">
      <c r="A195" s="6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5">
      <c r="A196" s="6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5">
      <c r="A197" s="6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5">
      <c r="A198" s="6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">
      <c r="A199" s="6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5">
      <c r="A200" s="6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5">
      <c r="A201" s="6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5">
      <c r="A202" s="6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5">
      <c r="A203" s="6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5">
      <c r="A204" s="6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5">
      <c r="A205" s="6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5">
      <c r="A206" s="6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5">
      <c r="A207" s="6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5">
      <c r="A208" s="6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">
      <c r="A209" s="6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5">
      <c r="A210" s="6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5">
      <c r="A211" s="6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5">
      <c r="A212" s="6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5">
      <c r="A213" s="6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">
      <c r="A214" s="6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5">
      <c r="A215" s="6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5">
      <c r="A216" s="6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5">
      <c r="A217" s="6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5">
      <c r="A218" s="6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5">
      <c r="A219" s="6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5">
      <c r="A220" s="6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5">
      <c r="A221" s="6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5">
      <c r="A222" s="6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5">
      <c r="A223" s="6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5">
      <c r="A224" s="6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5">
      <c r="A225" s="6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5">
      <c r="A226" s="6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5">
      <c r="A227" s="6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5">
      <c r="A228" s="6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">
      <c r="A229" s="6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5">
      <c r="A230" s="6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5">
      <c r="A231" s="6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5">
      <c r="A232" s="6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5">
      <c r="A233" s="6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5">
      <c r="A234" s="6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5">
      <c r="A235" s="6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5">
      <c r="A236" s="6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5">
      <c r="A237" s="6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5">
      <c r="A238" s="6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5">
      <c r="A239" s="6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5">
      <c r="A240" s="6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5">
      <c r="A241" s="6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5">
      <c r="A242" s="6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5">
      <c r="A243" s="6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5">
      <c r="A244" s="6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5">
      <c r="A245" s="6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5">
      <c r="A246" s="6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5">
      <c r="A247" s="6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5">
      <c r="A248" s="6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5">
      <c r="A249" s="6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5">
      <c r="A250" s="6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5">
      <c r="A251" s="6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5">
      <c r="A252" s="6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5">
      <c r="A253" s="6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5">
      <c r="A254" s="6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5">
      <c r="A255" s="6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5">
      <c r="A256" s="6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5">
      <c r="A257" s="6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5">
      <c r="A258" s="6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5">
      <c r="A259" s="6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5">
      <c r="A260" s="6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5">
      <c r="A261" s="6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5">
      <c r="A262" s="6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5">
      <c r="A263" s="6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5">
      <c r="A264" s="6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5">
      <c r="A265" s="6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5">
      <c r="A266" s="6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5">
      <c r="A267" s="6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5">
      <c r="A268" s="6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5">
      <c r="A269" s="6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5">
      <c r="A270" s="6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5">
      <c r="A271" s="6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5">
      <c r="A272" s="6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5">
      <c r="A273" s="6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5">
      <c r="A274" s="6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5">
      <c r="A275" s="6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5">
      <c r="A276" s="6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5">
      <c r="A277" s="6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5">
      <c r="A278" s="6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5">
      <c r="A279" s="6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5">
      <c r="A280" s="6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5">
      <c r="A281" s="6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5">
      <c r="A282" s="6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5">
      <c r="A283" s="6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5">
      <c r="A284" s="6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5">
      <c r="A285" s="6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5">
      <c r="A286" s="6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5">
      <c r="A287" s="6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5">
      <c r="A288" s="6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5">
      <c r="A289" s="6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5">
      <c r="A290" s="6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5">
      <c r="A291" s="6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5">
      <c r="A292" s="6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5">
      <c r="A293" s="6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5">
      <c r="A294" s="6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5">
      <c r="A295" s="6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5">
      <c r="A296" s="6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5">
      <c r="A297" s="6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5">
      <c r="A298" s="6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5">
      <c r="A299" s="6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5">
      <c r="A300" s="6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5">
      <c r="A301" s="6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5">
      <c r="A302" s="6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5">
      <c r="A303" s="6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5">
      <c r="A304" s="6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5">
      <c r="A305" s="6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5">
      <c r="A306" s="6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5">
      <c r="A307" s="6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5">
      <c r="A308" s="6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5">
      <c r="A309" s="6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5">
      <c r="A310" s="6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5">
      <c r="A311" s="6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5">
      <c r="A312" s="6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5">
      <c r="A313" s="6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5">
      <c r="A314" s="6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5">
      <c r="A315" s="6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5">
      <c r="A316" s="6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5">
      <c r="A317" s="6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5">
      <c r="A318" s="6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5">
      <c r="A319" s="6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5">
      <c r="A320" s="6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5">
      <c r="A321" s="6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5">
      <c r="A322" s="6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5">
      <c r="A323" s="6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5">
      <c r="A324" s="6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5">
      <c r="A325" s="6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5">
      <c r="A326" s="6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5">
      <c r="A327" s="6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5">
      <c r="A328" s="6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5">
      <c r="A329" s="6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5">
      <c r="A330" s="6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5">
      <c r="A331" s="6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5">
      <c r="A332" s="6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5">
      <c r="A333" s="6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5">
      <c r="A334" s="6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5">
      <c r="A335" s="6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5">
      <c r="A336" s="6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5">
      <c r="A337" s="6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5">
      <c r="A338" s="6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5">
      <c r="A339" s="6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5">
      <c r="A340" s="6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5">
      <c r="A341" s="6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15">
      <c r="A342" s="6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15">
      <c r="A343" s="6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15">
      <c r="A344" s="6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15">
      <c r="A345" s="6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5">
      <c r="A346" s="6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5">
      <c r="A347" s="6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5">
      <c r="A348" s="6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ht="15">
      <c r="A349" s="6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ht="15">
      <c r="A350" s="6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ht="15">
      <c r="A351" s="6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ht="15">
      <c r="A352" s="6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ht="15">
      <c r="A353" s="6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ht="15">
      <c r="A354" s="6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5">
      <c r="A355" s="6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15">
      <c r="A356" s="6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ht="15">
      <c r="A357" s="6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15">
      <c r="A358" s="6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ht="15">
      <c r="A359" s="6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ht="15">
      <c r="A360" s="6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ht="15">
      <c r="A361" s="6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5">
      <c r="A362" s="6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5">
      <c r="A363" s="6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15">
      <c r="A364" s="6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ht="15">
      <c r="A365" s="6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ht="15">
      <c r="A366" s="6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ht="15">
      <c r="A367" s="6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15">
      <c r="A368" s="6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15">
      <c r="A369" s="6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ht="15">
      <c r="A370" s="6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ht="15">
      <c r="A371" s="6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ht="15">
      <c r="A372" s="6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ht="15">
      <c r="A373" s="6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ht="15">
      <c r="A374" s="6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ht="15">
      <c r="A375" s="6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ht="15">
      <c r="A376" s="6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ht="15">
      <c r="A377" s="6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ht="15">
      <c r="A378" s="6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ht="15">
      <c r="A379" s="6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5">
      <c r="A380" s="6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ht="15">
      <c r="A381" s="6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ht="15">
      <c r="A382" s="6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ht="15">
      <c r="A383" s="6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ht="15">
      <c r="A384" s="6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15">
      <c r="A385" s="6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15">
      <c r="A386" s="6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15">
      <c r="A387" s="6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ht="15">
      <c r="A388" s="6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ht="15">
      <c r="A389" s="6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15">
      <c r="A390" s="6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ht="15">
      <c r="A391" s="6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ht="15">
      <c r="A392" s="6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15">
      <c r="A393" s="6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ht="15">
      <c r="A394" s="6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ht="15">
      <c r="A395" s="6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15">
      <c r="A396" s="6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15">
      <c r="A397" s="6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15">
      <c r="A398" s="6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15">
      <c r="A399" s="6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5">
      <c r="A400" s="6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5">
      <c r="A401" s="6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15">
      <c r="A402" s="6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15">
      <c r="A403" s="6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5">
      <c r="A404" s="6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ht="15">
      <c r="A405" s="6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ht="15">
      <c r="A406" s="6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ht="15">
      <c r="A407" s="6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ht="15">
      <c r="A408" s="6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ht="15">
      <c r="A409" s="6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ht="15">
      <c r="A410" s="6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ht="15">
      <c r="A411" s="6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ht="15">
      <c r="A412" s="6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ht="15">
      <c r="A413" s="6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ht="15">
      <c r="A414" s="6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15">
      <c r="A415" s="6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ht="15">
      <c r="A416" s="6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15">
      <c r="A417" s="6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15">
      <c r="A418" s="6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15">
      <c r="A419" s="6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5">
      <c r="A420" s="6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15">
      <c r="A421" s="6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15">
      <c r="A422" s="6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15">
      <c r="A423" s="6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5">
      <c r="A424" s="6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5">
      <c r="A425" s="6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5">
      <c r="A426" s="6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5">
      <c r="A427" s="6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5">
      <c r="A428" s="6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5">
      <c r="A429" s="6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5">
      <c r="A430" s="6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5">
      <c r="A431" s="6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5">
      <c r="A432" s="6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5">
      <c r="A433" s="6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5">
      <c r="A434" s="6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5">
      <c r="A435" s="6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5">
      <c r="A436" s="6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5">
      <c r="A437" s="6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5">
      <c r="A438" s="6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5">
      <c r="A439" s="6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5">
      <c r="A440" s="6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5">
      <c r="A441" s="6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5">
      <c r="A442" s="6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5">
      <c r="A443" s="6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5">
      <c r="A444" s="6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5">
      <c r="A445" s="6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5">
      <c r="A446" s="6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5">
      <c r="A447" s="6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5">
      <c r="A448" s="6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5">
      <c r="A449" s="6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5">
      <c r="A450" s="6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5">
      <c r="A451" s="6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5">
      <c r="A452" s="6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5">
      <c r="A453" s="6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5">
      <c r="A454" s="6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5">
      <c r="A455" s="6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5">
      <c r="A456" s="6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5">
      <c r="A457" s="6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5">
      <c r="A458" s="6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5">
      <c r="A459" s="6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5">
      <c r="A460" s="6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5">
      <c r="A461" s="6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15">
      <c r="A462" s="6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15">
      <c r="A463" s="6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15">
      <c r="A464" s="6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15">
      <c r="A465" s="6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15">
      <c r="A466" s="6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15">
      <c r="A467" s="6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15">
      <c r="A468" s="6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15">
      <c r="A469" s="6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15">
      <c r="A470" s="6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15">
      <c r="A471" s="6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15">
      <c r="A472" s="6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15">
      <c r="A473" s="6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15">
      <c r="A474" s="6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5">
      <c r="A475" s="6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5">
      <c r="A476" s="6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5">
      <c r="A477" s="6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5">
      <c r="A478" s="6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15">
      <c r="A479" s="6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15">
      <c r="A480" s="6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15">
      <c r="A481" s="6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15">
      <c r="A482" s="6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15">
      <c r="A483" s="6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15">
      <c r="A484" s="6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15">
      <c r="A485" s="6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15">
      <c r="A486" s="6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ht="15">
      <c r="A487" s="6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ht="15">
      <c r="A488" s="6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ht="15">
      <c r="A489" s="6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ht="15">
      <c r="A490" s="6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ht="15">
      <c r="A491" s="6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ht="15">
      <c r="A492" s="6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ht="15">
      <c r="A493" s="6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ht="15">
      <c r="A494" s="6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ht="15">
      <c r="A495" s="6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ht="15">
      <c r="A496" s="6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ht="15">
      <c r="A497" s="6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ht="15">
      <c r="A498" s="6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ht="15">
      <c r="A499" s="6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ht="15">
      <c r="A500" s="6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ht="15">
      <c r="A501" s="6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ht="15">
      <c r="A502" s="6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ht="15">
      <c r="A503" s="6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ht="15">
      <c r="A504" s="6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ht="15">
      <c r="A505" s="6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ht="15">
      <c r="A506" s="6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ht="15">
      <c r="A507" s="6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ht="15">
      <c r="A508" s="6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ht="15">
      <c r="A509" s="6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ht="15">
      <c r="A510" s="6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ht="15">
      <c r="A511" s="6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ht="15">
      <c r="A512" s="6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ht="15">
      <c r="A513" s="6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ht="15">
      <c r="A514" s="6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ht="15">
      <c r="A515" s="6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ht="15">
      <c r="A516" s="6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ht="15">
      <c r="A517" s="6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ht="15">
      <c r="A518" s="6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ht="15">
      <c r="A519" s="6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ht="15">
      <c r="A520" s="6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ht="15">
      <c r="A521" s="6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ht="15">
      <c r="A522" s="6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ht="15">
      <c r="A523" s="6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ht="15">
      <c r="A524" s="6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ht="15">
      <c r="A525" s="6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ht="15">
      <c r="A526" s="6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ht="15">
      <c r="A527" s="6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ht="15">
      <c r="A528" s="6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ht="15">
      <c r="A529" s="6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ht="15">
      <c r="A530" s="6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ht="15">
      <c r="A531" s="6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ht="15">
      <c r="A532" s="6"/>
      <c r="B532" s="8"/>
      <c r="C532" s="8"/>
      <c r="D532" s="8"/>
      <c r="E532" s="8"/>
      <c r="F532" s="8"/>
      <c r="G532" s="8"/>
      <c r="H532" s="8"/>
      <c r="I532" s="8"/>
      <c r="J532" s="8"/>
      <c r="K532" s="8"/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2011-09-07T15:42:35Z</dcterms:modified>
  <cp:category/>
  <cp:version/>
  <cp:contentType/>
  <cp:contentStatus/>
</cp:coreProperties>
</file>