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60" windowWidth="11412" windowHeight="5796" activeTab="3"/>
  </bookViews>
  <sheets>
    <sheet name="Ex1" sheetId="1" r:id="rId1"/>
    <sheet name="Ex2" sheetId="2" r:id="rId2"/>
    <sheet name="Ex2_diferente" sheetId="3" r:id="rId3"/>
    <sheet name="Ex3" sheetId="4" r:id="rId4"/>
  </sheets>
  <definedNames>
    <definedName name="_xlnm.Print_Area" localSheetId="0">'Ex1'!$A$1:$U$18</definedName>
    <definedName name="_xlnm.Print_Area" localSheetId="1">'Ex2'!$A$1:$AA$29</definedName>
  </definedNames>
  <calcPr fullCalcOnLoad="1"/>
</workbook>
</file>

<file path=xl/comments1.xml><?xml version="1.0" encoding="utf-8"?>
<comments xmlns="http://schemas.openxmlformats.org/spreadsheetml/2006/main">
  <authors>
    <author>USER</author>
    <author>1720117</author>
  </authors>
  <commentList>
    <comment ref="I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46,68 mm, mas repôs para 56 mm</t>
        </r>
      </text>
    </comment>
    <comment ref="I1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46,11 mm, mas repôs para 56 mm</t>
        </r>
      </text>
    </comment>
    <comment ref="H3" authorId="1">
      <text>
        <r>
          <rPr>
            <b/>
            <sz val="9"/>
            <rFont val="Tahoma"/>
            <family val="2"/>
          </rPr>
          <t>1720117:</t>
        </r>
        <r>
          <rPr>
            <sz val="9"/>
            <rFont val="Tahoma"/>
            <family val="2"/>
          </rPr>
          <t xml:space="preserve">
LAA antes da irrigação: desconhecida</t>
        </r>
      </text>
    </comment>
    <comment ref="I3" authorId="1">
      <text>
        <r>
          <rPr>
            <b/>
            <sz val="9"/>
            <rFont val="Tahoma"/>
            <family val="2"/>
          </rPr>
          <t>1720117:</t>
        </r>
        <r>
          <rPr>
            <sz val="9"/>
            <rFont val="Tahoma"/>
            <family val="2"/>
          </rPr>
          <t xml:space="preserve">
LAA após a irrigação</t>
        </r>
      </text>
    </comment>
  </commentList>
</comments>
</file>

<file path=xl/comments2.xml><?xml version="1.0" encoding="utf-8"?>
<comments xmlns="http://schemas.openxmlformats.org/spreadsheetml/2006/main">
  <authors>
    <author>1720117</author>
  </authors>
  <commentList>
    <comment ref="I4" authorId="0">
      <text>
        <r>
          <rPr>
            <b/>
            <sz val="9"/>
            <rFont val="Tahoma"/>
            <family val="2"/>
          </rPr>
          <t>1720117:</t>
        </r>
        <r>
          <rPr>
            <sz val="9"/>
            <rFont val="Tahoma"/>
            <family val="2"/>
          </rPr>
          <t xml:space="preserve">
Apesar de ter controle de 0 a 40 cm com os tensiômetros, a profundidade de interesse é de apenas 30 cm: 20 cm da primeira camada e 10 cm da segunda.</t>
        </r>
      </text>
    </comment>
  </commentList>
</comments>
</file>

<file path=xl/comments3.xml><?xml version="1.0" encoding="utf-8"?>
<comments xmlns="http://schemas.openxmlformats.org/spreadsheetml/2006/main">
  <authors>
    <author>1720117</author>
  </authors>
  <commentList>
    <comment ref="I4" authorId="0">
      <text>
        <r>
          <rPr>
            <b/>
            <sz val="9"/>
            <rFont val="Tahoma"/>
            <family val="2"/>
          </rPr>
          <t>1720117:</t>
        </r>
        <r>
          <rPr>
            <sz val="9"/>
            <rFont val="Tahoma"/>
            <family val="2"/>
          </rPr>
          <t xml:space="preserve">
Apesar de ter controle de 0 a 40 cm com os tensiômetros, a profundidade de interesse é de apenas 30 cm: 20 cm da primeira camada e 10 cm da segunda.</t>
        </r>
      </text>
    </comment>
  </commentList>
</comments>
</file>

<file path=xl/comments4.xml><?xml version="1.0" encoding="utf-8"?>
<comments xmlns="http://schemas.openxmlformats.org/spreadsheetml/2006/main">
  <authors>
    <author>Micro</author>
  </authors>
  <commentList>
    <comment ref="I20" authorId="0">
      <text>
        <r>
          <rPr>
            <b/>
            <sz val="9"/>
            <rFont val="Segoe UI"/>
            <family val="2"/>
          </rPr>
          <t>Micro:</t>
        </r>
        <r>
          <rPr>
            <sz val="9"/>
            <rFont val="Segoe UI"/>
            <family val="2"/>
          </rPr>
          <t xml:space="preserve">
LAA final &gt; CTA</t>
        </r>
      </text>
    </comment>
    <comment ref="I21" authorId="0">
      <text>
        <r>
          <rPr>
            <b/>
            <sz val="9"/>
            <rFont val="Segoe UI"/>
            <family val="2"/>
          </rPr>
          <t>Micro:</t>
        </r>
        <r>
          <rPr>
            <sz val="9"/>
            <rFont val="Segoe UI"/>
            <family val="2"/>
          </rPr>
          <t xml:space="preserve">
LAA final &gt; CTA</t>
        </r>
      </text>
    </comment>
  </commentList>
</comments>
</file>

<file path=xl/sharedStrings.xml><?xml version="1.0" encoding="utf-8"?>
<sst xmlns="http://schemas.openxmlformats.org/spreadsheetml/2006/main" count="241" uniqueCount="96">
  <si>
    <t>Data</t>
  </si>
  <si>
    <t>Precipitação (mm)</t>
  </si>
  <si>
    <t>ET0 (mm)</t>
  </si>
  <si>
    <t>EV (mm)</t>
  </si>
  <si>
    <t>Kp</t>
  </si>
  <si>
    <t>Kc</t>
  </si>
  <si>
    <t>Ks</t>
  </si>
  <si>
    <t>ETC ajustada (mm)</t>
  </si>
  <si>
    <t>IRN (mm)</t>
  </si>
  <si>
    <t>DAE</t>
  </si>
  <si>
    <t>EV</t>
  </si>
  <si>
    <t>ET0</t>
  </si>
  <si>
    <t>ETC</t>
  </si>
  <si>
    <t>PE</t>
  </si>
  <si>
    <t>IRN</t>
  </si>
  <si>
    <t>(mm)</t>
  </si>
  <si>
    <t>CTA</t>
  </si>
  <si>
    <t>28 kPa &gt; CC?</t>
  </si>
  <si>
    <t>Sim, pois houve chuva...</t>
  </si>
  <si>
    <t>TR de 3 dias</t>
  </si>
  <si>
    <t>nova LAA (mm)</t>
  </si>
  <si>
    <t>ETc (mm)</t>
  </si>
  <si>
    <t>DTA (mm/cm)</t>
  </si>
  <si>
    <t>Z (cm)</t>
  </si>
  <si>
    <t>CTA (mm)</t>
  </si>
  <si>
    <t>1° dia de déficit, ou seja, LAA &lt; CTA</t>
  </si>
  <si>
    <t>Como a LAA = CTA, solo está bem umedecido para as plantas...</t>
  </si>
  <si>
    <t>2° dia de déficit, ou seja, LAA &lt; CTA</t>
  </si>
  <si>
    <t>1°método</t>
  </si>
  <si>
    <t>2°método</t>
  </si>
  <si>
    <t>kPa</t>
  </si>
  <si>
    <t>mm</t>
  </si>
  <si>
    <t>cm3/cm3</t>
  </si>
  <si>
    <t>cm</t>
  </si>
  <si>
    <t>LAA</t>
  </si>
  <si>
    <t>-</t>
  </si>
  <si>
    <t>Qual a CTA??? Não temos a CTA, mas temos como calcular a lâmina correspondente à Capacidade de Campo</t>
  </si>
  <si>
    <t>Lembrando que CC representa a máxima retenção de água do solo pelos microporos</t>
  </si>
  <si>
    <t>Déficit calculado entre a Lcc e a LAA</t>
  </si>
  <si>
    <t>Note que as tensões não superaram 80 kPa, que é o limite de tensão para o uso do tensiômetro.</t>
  </si>
  <si>
    <t>O que acontece quando a tensão real no solo &gt; 80 kPa?</t>
  </si>
  <si>
    <t>O que é cavitação?</t>
  </si>
  <si>
    <t>O que é pressão de vapor?</t>
  </si>
  <si>
    <t xml:space="preserve">Precipitação </t>
  </si>
  <si>
    <t>Déficit a cada três dias</t>
  </si>
  <si>
    <t>Nova Irrigação, pois LAA está próximo da LAA crítica</t>
  </si>
  <si>
    <t>LAA &gt; CTA, Logo: LAA será CTA... O resto drena</t>
  </si>
  <si>
    <t>LAA crítica</t>
  </si>
  <si>
    <t>LAA Inicial</t>
  </si>
  <si>
    <t>LAA Final</t>
  </si>
  <si>
    <t xml:space="preserve">Nova LAA </t>
  </si>
  <si>
    <t>CRA</t>
  </si>
  <si>
    <t>LAA Crítica</t>
  </si>
  <si>
    <t>IRN (CTA - LAA)</t>
  </si>
  <si>
    <t>LAA_final (mm)</t>
  </si>
  <si>
    <t>xxxx</t>
  </si>
  <si>
    <t>As irrigações são feitas no início do dia, a cada 3 dias</t>
  </si>
  <si>
    <t>LAA_inicial (mm)</t>
  </si>
  <si>
    <t>xxx</t>
  </si>
  <si>
    <t>Após cada irrigação, a LAA se iguala à CTA</t>
  </si>
  <si>
    <t>Como não há chuva no período:</t>
  </si>
  <si>
    <t>soma das ETc dentro do TR é igual à IRN</t>
  </si>
  <si>
    <t>isso é provado no 2° método de cálculo da IRN</t>
  </si>
  <si>
    <t>Diferença entre a CTA e a CRA: diferença entre o total e o que se pode perder com segurança</t>
  </si>
  <si>
    <t>Lâmina que pode ser perdida, com segurança, sem estressar a cultura</t>
  </si>
  <si>
    <t>Lâmina máxima armazenada pelo solo. Corresponde à máxima LAA</t>
  </si>
  <si>
    <t>Devido à cavitação, "entra ar no tensiômetro" e se perde o vácuo parcial que é a base do método.</t>
  </si>
  <si>
    <t xml:space="preserve">Está correto falar em entrar ar? </t>
  </si>
  <si>
    <t>Como LAA = CTA, solo está bem umedecido para as plantas...</t>
  </si>
  <si>
    <t>3° dia de déficit = TR. Fazer nova irrigação. Lâmina? IRN=CTA-LAA</t>
  </si>
  <si>
    <t xml:space="preserve">         a LAA anterior, elevando-a para a CC</t>
  </si>
  <si>
    <t xml:space="preserve">No dia 05/05 temos que fazer uma irrigação para compensar </t>
  </si>
  <si>
    <t xml:space="preserve">No dia 08/05 temos que fazer uma irrigação para compensar </t>
  </si>
  <si>
    <t xml:space="preserve">        a LAA anterior, elevando-a para a CC</t>
  </si>
  <si>
    <t xml:space="preserve">Umidade </t>
  </si>
  <si>
    <t>Z</t>
  </si>
  <si>
    <t xml:space="preserve">Tensão </t>
  </si>
  <si>
    <t>0-20 cm</t>
  </si>
  <si>
    <t>20-40 cm</t>
  </si>
  <si>
    <t>20-30 cm</t>
  </si>
  <si>
    <t>Assim: máxima Lâmina Armazenada (maior Lâmina de Água Atual:: LAA tendendo à CTA) será a LAAcc</t>
  </si>
  <si>
    <t>LAAcc &gt;&gt;&gt; CTA</t>
  </si>
  <si>
    <t>LAAcc</t>
  </si>
  <si>
    <t>A rigor LAAcc não é exatamente igual à CTA...</t>
  </si>
  <si>
    <t>Umidade PMP</t>
  </si>
  <si>
    <t>LAA_PMP</t>
  </si>
  <si>
    <t>Usando o conceito de LAA ou CAA via CTA, dá o mesmo resultado...</t>
  </si>
  <si>
    <t>O importante é o déficit...</t>
  </si>
  <si>
    <t>1a Irrigação</t>
  </si>
  <si>
    <t>LAA (mm)</t>
  </si>
  <si>
    <t>28 kPa &lt; CC?</t>
  </si>
  <si>
    <t>2a Irrigação</t>
  </si>
  <si>
    <t>Usando conceito de CTA</t>
  </si>
  <si>
    <t>IRN ou LL</t>
  </si>
  <si>
    <t>Lâmina Disponível</t>
  </si>
  <si>
    <t xml:space="preserve">Déficit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</si>
</sst>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FF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7" fillId="20" borderId="5" applyNumberFormat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32" borderId="10" xfId="0" applyNumberFormat="1" applyFill="1" applyBorder="1" applyAlignment="1">
      <alignment horizontal="center"/>
    </xf>
    <xf numFmtId="2" fontId="0" fillId="10" borderId="10" xfId="0" applyNumberForma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16" fontId="2" fillId="0" borderId="13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164" fontId="2" fillId="0" borderId="14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9" fillId="10" borderId="0" xfId="0" applyFont="1" applyFill="1" applyAlignment="1">
      <alignment horizontal="center"/>
    </xf>
    <xf numFmtId="0" fontId="2" fillId="4" borderId="14" xfId="0" applyFont="1" applyFill="1" applyBorder="1" applyAlignment="1">
      <alignment horizontal="center" vertical="top" wrapText="1"/>
    </xf>
    <xf numFmtId="2" fontId="3" fillId="4" borderId="14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33" borderId="14" xfId="0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top" wrapText="1"/>
    </xf>
    <xf numFmtId="1" fontId="3" fillId="10" borderId="14" xfId="0" applyNumberFormat="1" applyFont="1" applyFill="1" applyBorder="1" applyAlignment="1">
      <alignment horizontal="center" vertical="top" wrapText="1"/>
    </xf>
    <xf numFmtId="1" fontId="2" fillId="0" borderId="14" xfId="0" applyNumberFormat="1" applyFont="1" applyBorder="1" applyAlignment="1">
      <alignment horizontal="center" vertical="top" wrapText="1"/>
    </xf>
    <xf numFmtId="0" fontId="7" fillId="32" borderId="10" xfId="0" applyFont="1" applyFill="1" applyBorder="1" applyAlignment="1">
      <alignment/>
    </xf>
    <xf numFmtId="0" fontId="2" fillId="0" borderId="15" xfId="0" applyFont="1" applyBorder="1" applyAlignment="1">
      <alignment horizontal="center" vertical="top" wrapText="1"/>
    </xf>
    <xf numFmtId="0" fontId="2" fillId="4" borderId="16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2" fontId="3" fillId="4" borderId="16" xfId="0" applyNumberFormat="1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4" borderId="10" xfId="0" applyNumberForma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" fontId="2" fillId="0" borderId="13" xfId="0" applyNumberFormat="1" applyFont="1" applyBorder="1" applyAlignment="1">
      <alignment horizontal="center" vertical="center" wrapText="1"/>
    </xf>
    <xf numFmtId="2" fontId="3" fillId="10" borderId="14" xfId="0" applyNumberFormat="1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164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2" fontId="2" fillId="32" borderId="18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2" fillId="10" borderId="14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0" fillId="32" borderId="10" xfId="0" applyFill="1" applyBorder="1" applyAlignment="1">
      <alignment horizontal="center"/>
    </xf>
    <xf numFmtId="164" fontId="0" fillId="32" borderId="10" xfId="0" applyNumberFormat="1" applyFill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64" fontId="44" fillId="32" borderId="10" xfId="0" applyNumberFormat="1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16" fontId="2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/>
    </xf>
    <xf numFmtId="0" fontId="44" fillId="0" borderId="0" xfId="0" applyFont="1" applyAlignment="1">
      <alignment horizontal="left"/>
    </xf>
    <xf numFmtId="2" fontId="45" fillId="0" borderId="10" xfId="0" applyNumberFormat="1" applyFont="1" applyBorder="1" applyAlignment="1">
      <alignment horizontal="center"/>
    </xf>
    <xf numFmtId="2" fontId="2" fillId="13" borderId="14" xfId="0" applyNumberFormat="1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0" fillId="32" borderId="19" xfId="0" applyNumberFormat="1" applyFill="1" applyBorder="1" applyAlignment="1">
      <alignment horizontal="center" vertical="center" wrapText="1"/>
    </xf>
    <xf numFmtId="164" fontId="0" fillId="32" borderId="12" xfId="0" applyNumberForma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8"/>
  <sheetViews>
    <sheetView zoomScale="90" zoomScaleNormal="90" zoomScaleSheetLayoutView="100" zoomScalePageLayoutView="0" workbookViewId="0" topLeftCell="A1">
      <selection activeCell="H11" sqref="H11"/>
    </sheetView>
  </sheetViews>
  <sheetFormatPr defaultColWidth="9.140625" defaultRowHeight="15"/>
  <cols>
    <col min="2" max="2" width="12.28125" style="0" customWidth="1"/>
    <col min="4" max="4" width="7.8515625" style="0" customWidth="1"/>
    <col min="5" max="5" width="7.7109375" style="0" customWidth="1"/>
    <col min="6" max="6" width="6.28125" style="0" customWidth="1"/>
    <col min="7" max="7" width="8.7109375" style="0" customWidth="1"/>
    <col min="8" max="8" width="13.140625" style="0" customWidth="1"/>
    <col min="9" max="9" width="11.140625" style="0" customWidth="1"/>
    <col min="10" max="10" width="8.7109375" style="0" customWidth="1"/>
    <col min="11" max="11" width="13.8515625" style="0" customWidth="1"/>
    <col min="12" max="12" width="11.7109375" style="0" customWidth="1"/>
    <col min="13" max="13" width="2.8515625" style="0" customWidth="1"/>
    <col min="14" max="14" width="11.00390625" style="0" customWidth="1"/>
    <col min="15" max="15" width="9.7109375" style="0" bestFit="1" customWidth="1"/>
    <col min="17" max="17" width="11.28125" style="0" bestFit="1" customWidth="1"/>
  </cols>
  <sheetData>
    <row r="2" spans="14:15" ht="15.75" thickBot="1">
      <c r="N2" t="s">
        <v>28</v>
      </c>
      <c r="O2" t="s">
        <v>29</v>
      </c>
    </row>
    <row r="3" spans="1:15" ht="48" thickBot="1">
      <c r="A3" s="7" t="s">
        <v>0</v>
      </c>
      <c r="B3" s="8" t="s">
        <v>1</v>
      </c>
      <c r="C3" s="8" t="s">
        <v>3</v>
      </c>
      <c r="D3" s="8" t="s">
        <v>4</v>
      </c>
      <c r="E3" s="8" t="s">
        <v>2</v>
      </c>
      <c r="F3" s="8" t="s">
        <v>5</v>
      </c>
      <c r="G3" s="8" t="s">
        <v>21</v>
      </c>
      <c r="H3" s="8" t="s">
        <v>57</v>
      </c>
      <c r="I3" s="8" t="s">
        <v>20</v>
      </c>
      <c r="J3" s="8" t="s">
        <v>6</v>
      </c>
      <c r="K3" s="8" t="s">
        <v>7</v>
      </c>
      <c r="L3" s="8" t="s">
        <v>54</v>
      </c>
      <c r="N3" s="25" t="s">
        <v>8</v>
      </c>
      <c r="O3" s="8" t="s">
        <v>8</v>
      </c>
    </row>
    <row r="4" spans="1:16" ht="16.5" thickBot="1">
      <c r="A4" s="9">
        <v>42226</v>
      </c>
      <c r="B4" s="10">
        <v>0</v>
      </c>
      <c r="C4" s="11">
        <v>3.84</v>
      </c>
      <c r="D4" s="10">
        <v>0.77</v>
      </c>
      <c r="E4" s="11">
        <f>C4*D4</f>
        <v>2.9568</v>
      </c>
      <c r="F4" s="10">
        <v>1.1</v>
      </c>
      <c r="G4" s="11">
        <f>E4*F4</f>
        <v>3.2524800000000003</v>
      </c>
      <c r="H4" s="21" t="s">
        <v>58</v>
      </c>
      <c r="I4" s="22">
        <f>56</f>
        <v>56</v>
      </c>
      <c r="J4" s="20">
        <f>LN(I4+1)/(LN(56+1))</f>
        <v>1</v>
      </c>
      <c r="K4" s="11">
        <f>G4*J4</f>
        <v>3.2524800000000003</v>
      </c>
      <c r="L4" s="11">
        <f>I4-K4</f>
        <v>52.74752</v>
      </c>
      <c r="N4" s="26" t="s">
        <v>55</v>
      </c>
      <c r="O4" s="17" t="s">
        <v>55</v>
      </c>
      <c r="P4" t="s">
        <v>68</v>
      </c>
    </row>
    <row r="5" spans="1:16" ht="16.5" thickBot="1">
      <c r="A5" s="9">
        <v>42227</v>
      </c>
      <c r="B5" s="10">
        <v>0</v>
      </c>
      <c r="C5" s="11">
        <v>3.66</v>
      </c>
      <c r="D5" s="10">
        <v>0.77</v>
      </c>
      <c r="E5" s="11">
        <f aca="true" t="shared" si="0" ref="E5:E14">C5*D5</f>
        <v>2.8182</v>
      </c>
      <c r="F5" s="10">
        <v>1.1</v>
      </c>
      <c r="G5" s="11">
        <f aca="true" t="shared" si="1" ref="G5:G14">E5*F5</f>
        <v>3.10002</v>
      </c>
      <c r="H5" s="21">
        <f>I4-K4+B4</f>
        <v>52.74752</v>
      </c>
      <c r="I5" s="23"/>
      <c r="J5" s="12">
        <f>LN(H5+1)/(LN(56+1))</f>
        <v>0.9854679702200285</v>
      </c>
      <c r="K5" s="11">
        <f aca="true" t="shared" si="2" ref="K5:K14">G5*J5</f>
        <v>3.054970417041493</v>
      </c>
      <c r="L5" s="11">
        <f aca="true" t="shared" si="3" ref="L5:L14">H5-K5</f>
        <v>49.692549582958506</v>
      </c>
      <c r="N5" s="27"/>
      <c r="O5" s="10"/>
      <c r="P5" t="s">
        <v>25</v>
      </c>
    </row>
    <row r="6" spans="1:16" ht="16.5" thickBot="1">
      <c r="A6" s="9">
        <v>42228</v>
      </c>
      <c r="B6" s="10">
        <v>0</v>
      </c>
      <c r="C6" s="11">
        <v>3.66</v>
      </c>
      <c r="D6" s="10">
        <v>0.77</v>
      </c>
      <c r="E6" s="11">
        <f t="shared" si="0"/>
        <v>2.8182</v>
      </c>
      <c r="F6" s="10">
        <v>1.1</v>
      </c>
      <c r="G6" s="11">
        <f t="shared" si="1"/>
        <v>3.10002</v>
      </c>
      <c r="H6" s="21">
        <f>H5-K5+B5</f>
        <v>49.692549582958506</v>
      </c>
      <c r="I6" s="23"/>
      <c r="J6" s="12">
        <f>LN(H6+1)/(LN(56+1))</f>
        <v>0.9709941053690762</v>
      </c>
      <c r="K6" s="11">
        <f t="shared" si="2"/>
        <v>3.0101011465262437</v>
      </c>
      <c r="L6" s="11">
        <f>H6-K6</f>
        <v>46.68244843643226</v>
      </c>
      <c r="N6" s="27"/>
      <c r="O6" s="10"/>
      <c r="P6" t="s">
        <v>27</v>
      </c>
    </row>
    <row r="7" spans="1:16" ht="16.5" thickBot="1">
      <c r="A7" s="9">
        <v>42229</v>
      </c>
      <c r="B7" s="10">
        <v>0</v>
      </c>
      <c r="C7" s="11">
        <v>2.97</v>
      </c>
      <c r="D7" s="10">
        <v>0.78</v>
      </c>
      <c r="E7" s="11">
        <f t="shared" si="0"/>
        <v>2.3166</v>
      </c>
      <c r="F7" s="10">
        <v>1.1</v>
      </c>
      <c r="G7" s="11">
        <f t="shared" si="1"/>
        <v>2.5482600000000004</v>
      </c>
      <c r="H7" s="21">
        <f>H6-K6+B6</f>
        <v>46.68244843643226</v>
      </c>
      <c r="I7" s="22">
        <v>56</v>
      </c>
      <c r="J7" s="20">
        <f>LN(I7+1)/(LN(56+1))</f>
        <v>1</v>
      </c>
      <c r="K7" s="11">
        <f t="shared" si="2"/>
        <v>2.5482600000000004</v>
      </c>
      <c r="L7" s="11">
        <f>I7-K7</f>
        <v>53.45174</v>
      </c>
      <c r="N7" s="28">
        <f>$C$18-L6</f>
        <v>9.31755156356774</v>
      </c>
      <c r="O7" s="18">
        <f>SUM(K4:K6)</f>
        <v>9.317551563567736</v>
      </c>
      <c r="P7" t="s">
        <v>69</v>
      </c>
    </row>
    <row r="8" spans="1:17" ht="16.5" thickBot="1">
      <c r="A8" s="9">
        <v>42230</v>
      </c>
      <c r="B8" s="10">
        <v>0</v>
      </c>
      <c r="C8" s="11">
        <v>4.02</v>
      </c>
      <c r="D8" s="10">
        <v>0.76</v>
      </c>
      <c r="E8" s="11">
        <f t="shared" si="0"/>
        <v>3.0551999999999997</v>
      </c>
      <c r="F8" s="10">
        <v>1.1</v>
      </c>
      <c r="G8" s="11">
        <f t="shared" si="1"/>
        <v>3.36072</v>
      </c>
      <c r="H8" s="21">
        <f>I7-K7+B7</f>
        <v>53.45174</v>
      </c>
      <c r="I8" s="23"/>
      <c r="J8" s="12">
        <f>LN(H8+1)/(LN(56+1))</f>
        <v>0.9886876371301144</v>
      </c>
      <c r="K8" s="11">
        <f t="shared" si="2"/>
        <v>3.3227023158559184</v>
      </c>
      <c r="L8" s="11">
        <f>H8-K8+B8</f>
        <v>50.12903768414408</v>
      </c>
      <c r="N8" s="27"/>
      <c r="O8" s="10"/>
      <c r="Q8" s="13"/>
    </row>
    <row r="9" spans="1:15" ht="16.5" thickBot="1">
      <c r="A9" s="9">
        <v>42231</v>
      </c>
      <c r="B9" s="10">
        <v>0</v>
      </c>
      <c r="C9" s="11">
        <v>5</v>
      </c>
      <c r="D9" s="10">
        <v>0.75</v>
      </c>
      <c r="E9" s="11">
        <f t="shared" si="0"/>
        <v>3.75</v>
      </c>
      <c r="F9" s="10">
        <v>1.1</v>
      </c>
      <c r="G9" s="11">
        <f t="shared" si="1"/>
        <v>4.125</v>
      </c>
      <c r="H9" s="66">
        <f>L8</f>
        <v>50.12903768414408</v>
      </c>
      <c r="I9" s="23"/>
      <c r="J9" s="12">
        <f>LN(H9+1)/(LN(56+1))</f>
        <v>0.9731146916815318</v>
      </c>
      <c r="K9" s="11">
        <f t="shared" si="2"/>
        <v>4.014098103186319</v>
      </c>
      <c r="L9" s="11">
        <f t="shared" si="3"/>
        <v>46.11493958095776</v>
      </c>
      <c r="N9" s="27"/>
      <c r="O9" s="10"/>
    </row>
    <row r="10" spans="1:15" ht="16.5" thickBot="1">
      <c r="A10" s="9">
        <v>42232</v>
      </c>
      <c r="B10" s="10">
        <v>0</v>
      </c>
      <c r="C10" s="11">
        <v>5.5</v>
      </c>
      <c r="D10" s="10">
        <v>0.78</v>
      </c>
      <c r="E10" s="11">
        <f t="shared" si="0"/>
        <v>4.29</v>
      </c>
      <c r="F10" s="10">
        <v>1.1</v>
      </c>
      <c r="G10" s="11">
        <f t="shared" si="1"/>
        <v>4.719</v>
      </c>
      <c r="H10" s="21">
        <f>H9-K9+B9</f>
        <v>46.11493958095776</v>
      </c>
      <c r="I10" s="22">
        <v>56</v>
      </c>
      <c r="J10" s="20">
        <f>LN(I10+1)/(LN(56+1))</f>
        <v>1</v>
      </c>
      <c r="K10" s="11">
        <f t="shared" si="2"/>
        <v>4.719</v>
      </c>
      <c r="L10" s="11">
        <f>I10-K10</f>
        <v>51.281</v>
      </c>
      <c r="N10" s="28">
        <f>$C$18-H10</f>
        <v>9.88506041904224</v>
      </c>
      <c r="O10" s="18">
        <f>SUM(K7:K9)</f>
        <v>9.885060419042237</v>
      </c>
    </row>
    <row r="11" spans="1:16" ht="16.5" thickBot="1">
      <c r="A11" s="9">
        <v>42233</v>
      </c>
      <c r="B11" s="10">
        <v>0</v>
      </c>
      <c r="C11" s="11">
        <v>5.81</v>
      </c>
      <c r="D11" s="10">
        <v>0.76</v>
      </c>
      <c r="E11" s="11">
        <f t="shared" si="0"/>
        <v>4.4155999999999995</v>
      </c>
      <c r="F11" s="10">
        <v>1.1</v>
      </c>
      <c r="G11" s="11">
        <f t="shared" si="1"/>
        <v>4.8571599999999995</v>
      </c>
      <c r="H11" s="21">
        <f>I10-K10+B10</f>
        <v>51.281</v>
      </c>
      <c r="I11" s="23"/>
      <c r="J11" s="12">
        <f>LN(H11+1)/(LN(56+1))</f>
        <v>0.9786254870979608</v>
      </c>
      <c r="K11" s="11">
        <f t="shared" si="2"/>
        <v>4.753340570912731</v>
      </c>
      <c r="L11" s="11">
        <f t="shared" si="3"/>
        <v>46.527659429087265</v>
      </c>
      <c r="N11" s="27"/>
      <c r="O11" s="10"/>
      <c r="P11" t="s">
        <v>60</v>
      </c>
    </row>
    <row r="12" spans="1:16" ht="16.5" thickBot="1">
      <c r="A12" s="9">
        <v>42234</v>
      </c>
      <c r="B12" s="10">
        <v>0</v>
      </c>
      <c r="C12" s="11">
        <v>4.5</v>
      </c>
      <c r="D12" s="10">
        <v>0.76</v>
      </c>
      <c r="E12" s="11">
        <f t="shared" si="0"/>
        <v>3.42</v>
      </c>
      <c r="F12" s="10">
        <v>1.1</v>
      </c>
      <c r="G12" s="11">
        <f t="shared" si="1"/>
        <v>3.762</v>
      </c>
      <c r="H12" s="21">
        <f>H11-K11+B11</f>
        <v>46.527659429087265</v>
      </c>
      <c r="I12" s="23"/>
      <c r="J12" s="12">
        <f>LN(H12+1)/(LN(56+1))</f>
        <v>0.9550489443597658</v>
      </c>
      <c r="K12" s="11">
        <f t="shared" si="2"/>
        <v>3.592894128681439</v>
      </c>
      <c r="L12" s="11">
        <f t="shared" si="3"/>
        <v>42.93476530040583</v>
      </c>
      <c r="N12" s="27"/>
      <c r="O12" s="10"/>
      <c r="P12" t="s">
        <v>61</v>
      </c>
    </row>
    <row r="13" spans="1:16" ht="16.5" thickBot="1">
      <c r="A13" s="9">
        <v>42235</v>
      </c>
      <c r="B13" s="10">
        <v>0</v>
      </c>
      <c r="C13" s="11">
        <v>5</v>
      </c>
      <c r="D13" s="10">
        <v>0.77</v>
      </c>
      <c r="E13" s="11">
        <f t="shared" si="0"/>
        <v>3.85</v>
      </c>
      <c r="F13" s="10">
        <v>1.1</v>
      </c>
      <c r="G13" s="11">
        <f t="shared" si="1"/>
        <v>4.235</v>
      </c>
      <c r="H13" s="21">
        <f>H12-K12+B12</f>
        <v>42.93476530040583</v>
      </c>
      <c r="I13" s="22">
        <v>56</v>
      </c>
      <c r="J13" s="20">
        <f>LN(I13+1)/(LN(56+1))</f>
        <v>1</v>
      </c>
      <c r="K13" s="11">
        <f t="shared" si="2"/>
        <v>4.235</v>
      </c>
      <c r="L13" s="11">
        <f>I13-K13</f>
        <v>51.765</v>
      </c>
      <c r="N13" s="28">
        <f>$C$18-H13</f>
        <v>13.065234699594171</v>
      </c>
      <c r="O13" s="18">
        <f>SUM(K10:K12)</f>
        <v>13.065234699594171</v>
      </c>
      <c r="P13" t="s">
        <v>62</v>
      </c>
    </row>
    <row r="14" spans="1:15" ht="15.75" thickBot="1">
      <c r="A14" s="9">
        <v>42236</v>
      </c>
      <c r="B14" s="10">
        <v>0</v>
      </c>
      <c r="C14" s="11">
        <v>5.2</v>
      </c>
      <c r="D14" s="10">
        <v>0.75</v>
      </c>
      <c r="E14" s="11">
        <f t="shared" si="0"/>
        <v>3.9000000000000004</v>
      </c>
      <c r="F14" s="10">
        <v>1.1</v>
      </c>
      <c r="G14" s="11">
        <f t="shared" si="1"/>
        <v>4.290000000000001</v>
      </c>
      <c r="H14" s="21">
        <f>I13-K13+B13</f>
        <v>51.765</v>
      </c>
      <c r="I14" s="12"/>
      <c r="J14" s="12">
        <f>LN(H14+1)/(LN(56+1))</f>
        <v>0.9809047250214943</v>
      </c>
      <c r="K14" s="11">
        <f t="shared" si="2"/>
        <v>4.208081270342212</v>
      </c>
      <c r="L14" s="11">
        <f t="shared" si="3"/>
        <v>47.55691872965779</v>
      </c>
      <c r="N14" s="27"/>
      <c r="O14" s="10"/>
    </row>
    <row r="16" spans="1:8" ht="18">
      <c r="A16" s="67" t="s">
        <v>22</v>
      </c>
      <c r="B16" s="67"/>
      <c r="C16" s="51">
        <v>1.4</v>
      </c>
      <c r="H16" t="s">
        <v>56</v>
      </c>
    </row>
    <row r="17" spans="1:8" ht="18">
      <c r="A17" s="67" t="s">
        <v>23</v>
      </c>
      <c r="B17" s="67"/>
      <c r="C17" s="51">
        <v>40</v>
      </c>
      <c r="H17" t="s">
        <v>59</v>
      </c>
    </row>
    <row r="18" spans="1:3" ht="18">
      <c r="A18" s="67" t="s">
        <v>24</v>
      </c>
      <c r="B18" s="67"/>
      <c r="C18" s="51">
        <f>C16*C17</f>
        <v>56</v>
      </c>
    </row>
  </sheetData>
  <sheetProtection/>
  <mergeCells count="3">
    <mergeCell ref="A16:B16"/>
    <mergeCell ref="A17:B17"/>
    <mergeCell ref="A18:B18"/>
  </mergeCells>
  <printOptions/>
  <pageMargins left="0.17" right="0.19" top="0.787401575" bottom="0.787401575" header="0.31496062" footer="0.31496062"/>
  <pageSetup horizontalDpi="600" verticalDpi="600" orientation="landscape" paperSize="9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SheetLayoutView="100" zoomScalePageLayoutView="0" workbookViewId="0" topLeftCell="A7">
      <selection activeCell="A3" sqref="A3"/>
    </sheetView>
  </sheetViews>
  <sheetFormatPr defaultColWidth="9.140625" defaultRowHeight="15"/>
  <cols>
    <col min="1" max="1" width="9.8515625" style="14" customWidth="1"/>
    <col min="2" max="2" width="13.140625" style="14" customWidth="1"/>
    <col min="3" max="3" width="12.28125" style="14" customWidth="1"/>
    <col min="4" max="4" width="12.140625" style="14" customWidth="1"/>
    <col min="5" max="5" width="10.00390625" style="14" customWidth="1"/>
    <col min="6" max="6" width="10.57421875" style="14" customWidth="1"/>
    <col min="7" max="7" width="11.00390625" style="14" customWidth="1"/>
    <col min="8" max="8" width="9.28125" style="14" customWidth="1"/>
    <col min="9" max="9" width="9.8515625" style="14" customWidth="1"/>
    <col min="10" max="10" width="9.140625" style="14" customWidth="1"/>
    <col min="11" max="11" width="10.7109375" style="14" customWidth="1"/>
    <col min="12" max="12" width="11.8515625" style="14" bestFit="1" customWidth="1"/>
    <col min="13" max="13" width="11.00390625" style="14" customWidth="1"/>
    <col min="14" max="14" width="9.140625" style="19" customWidth="1"/>
    <col min="15" max="15" width="11.28125" style="14" bestFit="1" customWidth="1"/>
    <col min="16" max="16384" width="9.140625" style="14" customWidth="1"/>
  </cols>
  <sheetData>
    <row r="1" spans="3:13" ht="32.25" customHeight="1" thickBot="1">
      <c r="C1" s="72" t="s">
        <v>76</v>
      </c>
      <c r="D1" s="73"/>
      <c r="E1" s="48"/>
      <c r="F1" s="68" t="s">
        <v>74</v>
      </c>
      <c r="G1" s="69"/>
      <c r="H1" s="68" t="s">
        <v>75</v>
      </c>
      <c r="I1" s="69"/>
      <c r="J1" s="68" t="s">
        <v>34</v>
      </c>
      <c r="K1" s="69"/>
      <c r="L1" s="49"/>
      <c r="M1" s="49"/>
    </row>
    <row r="2" spans="1:14" ht="48" thickBot="1">
      <c r="A2" s="40" t="s">
        <v>0</v>
      </c>
      <c r="B2" s="33" t="s">
        <v>43</v>
      </c>
      <c r="C2" s="35" t="s">
        <v>77</v>
      </c>
      <c r="D2" s="35" t="s">
        <v>78</v>
      </c>
      <c r="E2" s="35" t="s">
        <v>14</v>
      </c>
      <c r="F2" s="35" t="s">
        <v>77</v>
      </c>
      <c r="G2" s="35" t="s">
        <v>78</v>
      </c>
      <c r="H2" s="35" t="s">
        <v>77</v>
      </c>
      <c r="I2" s="35" t="s">
        <v>79</v>
      </c>
      <c r="J2" s="35" t="s">
        <v>77</v>
      </c>
      <c r="K2" s="35" t="s">
        <v>79</v>
      </c>
      <c r="L2" s="35" t="s">
        <v>34</v>
      </c>
      <c r="M2" s="35" t="s">
        <v>44</v>
      </c>
      <c r="N2" s="32" t="s">
        <v>38</v>
      </c>
    </row>
    <row r="3" spans="1:13" ht="32.25" thickBot="1">
      <c r="A3" s="41"/>
      <c r="B3" s="35" t="s">
        <v>31</v>
      </c>
      <c r="C3" s="35" t="s">
        <v>30</v>
      </c>
      <c r="D3" s="35" t="s">
        <v>30</v>
      </c>
      <c r="E3" s="35" t="s">
        <v>31</v>
      </c>
      <c r="F3" s="33" t="s">
        <v>32</v>
      </c>
      <c r="G3" s="33" t="s">
        <v>32</v>
      </c>
      <c r="H3" s="35" t="s">
        <v>33</v>
      </c>
      <c r="I3" s="35" t="s">
        <v>33</v>
      </c>
      <c r="J3" s="35" t="s">
        <v>33</v>
      </c>
      <c r="K3" s="35" t="s">
        <v>33</v>
      </c>
      <c r="L3" s="35" t="s">
        <v>31</v>
      </c>
      <c r="M3" s="35" t="s">
        <v>31</v>
      </c>
    </row>
    <row r="4" spans="1:14" ht="15.75" thickBot="1">
      <c r="A4" s="42">
        <v>42126</v>
      </c>
      <c r="B4" s="35">
        <v>0</v>
      </c>
      <c r="C4" s="53">
        <v>30</v>
      </c>
      <c r="D4" s="52">
        <v>30</v>
      </c>
      <c r="E4" s="35"/>
      <c r="F4" s="34">
        <f>0.16+0.295/((1+(0.037*C4)^0.601)^1.401)</f>
        <v>0.26683138347038804</v>
      </c>
      <c r="G4" s="34">
        <f>0.13+0.293/((1+(0.089*D4)^0.747)^0.835)</f>
        <v>0.24445186688339599</v>
      </c>
      <c r="H4" s="35">
        <v>20</v>
      </c>
      <c r="I4" s="35">
        <f>10</f>
        <v>10</v>
      </c>
      <c r="J4" s="36">
        <f>F4*H4</f>
        <v>5.336627669407761</v>
      </c>
      <c r="K4" s="37">
        <f>G4*I4</f>
        <v>2.4445186688339597</v>
      </c>
      <c r="L4" s="38">
        <f>(J4+K4)*10</f>
        <v>77.8114633824172</v>
      </c>
      <c r="M4" s="39" t="s">
        <v>35</v>
      </c>
      <c r="N4" s="19" t="s">
        <v>26</v>
      </c>
    </row>
    <row r="5" spans="1:13" ht="15.75" thickBot="1">
      <c r="A5" s="42">
        <v>42127</v>
      </c>
      <c r="B5" s="35">
        <v>0</v>
      </c>
      <c r="C5" s="54">
        <v>37</v>
      </c>
      <c r="D5" s="35">
        <v>39</v>
      </c>
      <c r="E5" s="35"/>
      <c r="F5" s="34">
        <f aca="true" t="shared" si="0" ref="F5:F12">0.16+0.295/((1+(0.037*C5)^0.601)^1.401)</f>
        <v>0.2572628793598372</v>
      </c>
      <c r="G5" s="34">
        <f aca="true" t="shared" si="1" ref="G5:G12">0.13+0.293/((1+(0.089*D5)^0.747)^0.835)</f>
        <v>0.2321214919654784</v>
      </c>
      <c r="H5" s="35">
        <v>20</v>
      </c>
      <c r="I5" s="35">
        <f>10</f>
        <v>10</v>
      </c>
      <c r="J5" s="36">
        <f aca="true" t="shared" si="2" ref="J5:K12">F5*H5</f>
        <v>5.1452575871967445</v>
      </c>
      <c r="K5" s="37">
        <f t="shared" si="2"/>
        <v>2.321214919654784</v>
      </c>
      <c r="L5" s="38">
        <f>(J5+K5)*10</f>
        <v>74.6647250685153</v>
      </c>
      <c r="M5" s="38"/>
    </row>
    <row r="6" spans="1:13" ht="15.75" thickBot="1">
      <c r="A6" s="42">
        <v>42128</v>
      </c>
      <c r="B6" s="35">
        <v>0</v>
      </c>
      <c r="C6" s="54">
        <v>42</v>
      </c>
      <c r="D6" s="35">
        <v>45</v>
      </c>
      <c r="E6" s="35"/>
      <c r="F6" s="34">
        <f t="shared" si="0"/>
        <v>0.25165474455757936</v>
      </c>
      <c r="G6" s="34">
        <f t="shared" si="1"/>
        <v>0.22569945168294303</v>
      </c>
      <c r="H6" s="35">
        <v>20</v>
      </c>
      <c r="I6" s="35">
        <f>10</f>
        <v>10</v>
      </c>
      <c r="J6" s="36">
        <f t="shared" si="2"/>
        <v>5.033094891151587</v>
      </c>
      <c r="K6" s="37">
        <f t="shared" si="2"/>
        <v>2.2569945168294305</v>
      </c>
      <c r="L6" s="38">
        <f aca="true" t="shared" si="3" ref="L6:L12">(J6+K6)*10</f>
        <v>72.90089407981017</v>
      </c>
      <c r="M6" s="38"/>
    </row>
    <row r="7" spans="1:14" ht="15.75" thickBot="1">
      <c r="A7" s="42">
        <v>42129</v>
      </c>
      <c r="B7" s="35">
        <v>0</v>
      </c>
      <c r="C7" s="53">
        <v>31</v>
      </c>
      <c r="D7" s="52">
        <v>30</v>
      </c>
      <c r="E7" s="43">
        <f>M7</f>
        <v>4.91056930260703</v>
      </c>
      <c r="F7" s="34">
        <f t="shared" si="0"/>
        <v>0.26531401487531137</v>
      </c>
      <c r="G7" s="34">
        <f t="shared" si="1"/>
        <v>0.24445186688339599</v>
      </c>
      <c r="H7" s="35">
        <v>20</v>
      </c>
      <c r="I7" s="35">
        <f>10</f>
        <v>10</v>
      </c>
      <c r="J7" s="36">
        <f t="shared" si="2"/>
        <v>5.306280297506227</v>
      </c>
      <c r="K7" s="37">
        <f t="shared" si="2"/>
        <v>2.4445186688339597</v>
      </c>
      <c r="L7" s="38">
        <f>(J7+K7)*10</f>
        <v>77.50798966340186</v>
      </c>
      <c r="M7" s="39">
        <f>$L$22-L6</f>
        <v>4.91056930260703</v>
      </c>
      <c r="N7" s="19" t="s">
        <v>71</v>
      </c>
    </row>
    <row r="8" spans="1:14" ht="15.75" thickBot="1">
      <c r="A8" s="42">
        <v>42130</v>
      </c>
      <c r="B8" s="35">
        <v>0</v>
      </c>
      <c r="C8" s="54">
        <v>45</v>
      </c>
      <c r="D8" s="35">
        <v>44</v>
      </c>
      <c r="E8" s="35"/>
      <c r="F8" s="34">
        <f t="shared" si="0"/>
        <v>0.2486647153029642</v>
      </c>
      <c r="G8" s="34">
        <f t="shared" si="1"/>
        <v>0.22669261085171621</v>
      </c>
      <c r="H8" s="35">
        <v>20</v>
      </c>
      <c r="I8" s="35">
        <f>10</f>
        <v>10</v>
      </c>
      <c r="J8" s="36">
        <f t="shared" si="2"/>
        <v>4.973294306059284</v>
      </c>
      <c r="K8" s="37">
        <f t="shared" si="2"/>
        <v>2.266926108517162</v>
      </c>
      <c r="L8" s="38">
        <f t="shared" si="3"/>
        <v>72.40220414576446</v>
      </c>
      <c r="M8" s="38"/>
      <c r="N8" s="19" t="s">
        <v>70</v>
      </c>
    </row>
    <row r="9" spans="1:13" ht="15.75" thickBot="1">
      <c r="A9" s="42">
        <v>42131</v>
      </c>
      <c r="B9" s="35">
        <v>0</v>
      </c>
      <c r="C9" s="54">
        <v>52</v>
      </c>
      <c r="D9" s="35">
        <v>51</v>
      </c>
      <c r="E9" s="35"/>
      <c r="F9" s="34">
        <f t="shared" si="0"/>
        <v>0.2425541648598546</v>
      </c>
      <c r="G9" s="34">
        <f t="shared" si="1"/>
        <v>0.2202775346398339</v>
      </c>
      <c r="H9" s="35">
        <v>20</v>
      </c>
      <c r="I9" s="35">
        <f>10</f>
        <v>10</v>
      </c>
      <c r="J9" s="36">
        <f t="shared" si="2"/>
        <v>4.851083297197092</v>
      </c>
      <c r="K9" s="37">
        <f t="shared" si="2"/>
        <v>2.2027753463983393</v>
      </c>
      <c r="L9" s="38">
        <f t="shared" si="3"/>
        <v>70.53858643595431</v>
      </c>
      <c r="M9" s="38"/>
    </row>
    <row r="10" spans="1:14" ht="15.75" thickBot="1">
      <c r="A10" s="42">
        <v>42132</v>
      </c>
      <c r="B10" s="35">
        <v>0</v>
      </c>
      <c r="C10" s="53">
        <v>30</v>
      </c>
      <c r="D10" s="52">
        <v>31</v>
      </c>
      <c r="E10" s="43">
        <f>M10</f>
        <v>7.272876946462887</v>
      </c>
      <c r="F10" s="34">
        <f t="shared" si="0"/>
        <v>0.26683138347038804</v>
      </c>
      <c r="G10" s="34">
        <f t="shared" si="1"/>
        <v>0.2428751080365832</v>
      </c>
      <c r="H10" s="35">
        <v>20</v>
      </c>
      <c r="I10" s="35">
        <f>10</f>
        <v>10</v>
      </c>
      <c r="J10" s="36">
        <f t="shared" si="2"/>
        <v>5.336627669407761</v>
      </c>
      <c r="K10" s="37">
        <f t="shared" si="2"/>
        <v>2.428751080365832</v>
      </c>
      <c r="L10" s="38">
        <f t="shared" si="3"/>
        <v>77.65378749773592</v>
      </c>
      <c r="M10" s="39">
        <f>$L$22-L9</f>
        <v>7.272876946462887</v>
      </c>
      <c r="N10" s="19" t="s">
        <v>72</v>
      </c>
    </row>
    <row r="11" spans="1:14" ht="15.75" thickBot="1">
      <c r="A11" s="42">
        <v>42133</v>
      </c>
      <c r="B11" s="44">
        <v>3</v>
      </c>
      <c r="C11" s="55">
        <v>28</v>
      </c>
      <c r="D11" s="35">
        <v>27</v>
      </c>
      <c r="E11" s="35"/>
      <c r="F11" s="34">
        <f t="shared" si="0"/>
        <v>0.2700469893689167</v>
      </c>
      <c r="G11" s="34">
        <f t="shared" si="1"/>
        <v>0.24957949962923653</v>
      </c>
      <c r="H11" s="35">
        <v>20</v>
      </c>
      <c r="I11" s="35">
        <f>10</f>
        <v>10</v>
      </c>
      <c r="J11" s="36">
        <f t="shared" si="2"/>
        <v>5.400939787378334</v>
      </c>
      <c r="K11" s="37">
        <f t="shared" si="2"/>
        <v>2.495794996292365</v>
      </c>
      <c r="L11" s="38">
        <f t="shared" si="3"/>
        <v>78.96734783670699</v>
      </c>
      <c r="M11" s="38"/>
      <c r="N11" s="19" t="s">
        <v>73</v>
      </c>
    </row>
    <row r="12" spans="1:13" ht="15.75" thickBot="1">
      <c r="A12" s="42">
        <v>42134</v>
      </c>
      <c r="B12" s="35">
        <v>0</v>
      </c>
      <c r="C12" s="54">
        <v>31</v>
      </c>
      <c r="D12" s="35">
        <v>32</v>
      </c>
      <c r="E12" s="35"/>
      <c r="F12" s="34">
        <f t="shared" si="0"/>
        <v>0.26531401487531137</v>
      </c>
      <c r="G12" s="34">
        <f t="shared" si="1"/>
        <v>0.2413575649273726</v>
      </c>
      <c r="H12" s="35">
        <v>20</v>
      </c>
      <c r="I12" s="35">
        <f>10</f>
        <v>10</v>
      </c>
      <c r="J12" s="36">
        <f t="shared" si="2"/>
        <v>5.306280297506227</v>
      </c>
      <c r="K12" s="37">
        <f t="shared" si="2"/>
        <v>2.413575649273726</v>
      </c>
      <c r="L12" s="38">
        <f t="shared" si="3"/>
        <v>77.19855946779953</v>
      </c>
      <c r="M12" s="38"/>
    </row>
    <row r="13" spans="3:15" ht="14.25">
      <c r="C13" s="19" t="s">
        <v>17</v>
      </c>
      <c r="O13" s="16" t="s">
        <v>19</v>
      </c>
    </row>
    <row r="14" ht="14.25">
      <c r="C14" s="19" t="s">
        <v>18</v>
      </c>
    </row>
    <row r="16" ht="14.25">
      <c r="F16" s="15" t="s">
        <v>36</v>
      </c>
    </row>
    <row r="17" ht="14.25">
      <c r="F17" s="15" t="s">
        <v>37</v>
      </c>
    </row>
    <row r="18" ht="15" thickBot="1">
      <c r="F18" s="15" t="s">
        <v>80</v>
      </c>
    </row>
    <row r="19" spans="6:11" ht="15.75" thickBot="1">
      <c r="F19" s="68" t="s">
        <v>74</v>
      </c>
      <c r="G19" s="69"/>
      <c r="H19" s="68" t="s">
        <v>75</v>
      </c>
      <c r="I19" s="69"/>
      <c r="J19" s="68" t="s">
        <v>82</v>
      </c>
      <c r="K19" s="74"/>
    </row>
    <row r="20" spans="6:13" ht="32.25" customHeight="1" thickBot="1">
      <c r="F20" s="35" t="s">
        <v>77</v>
      </c>
      <c r="G20" s="35" t="s">
        <v>78</v>
      </c>
      <c r="H20" s="35" t="s">
        <v>77</v>
      </c>
      <c r="I20" s="35" t="s">
        <v>79</v>
      </c>
      <c r="J20" s="35" t="s">
        <v>77</v>
      </c>
      <c r="K20" s="35" t="s">
        <v>79</v>
      </c>
      <c r="L20" s="68" t="s">
        <v>81</v>
      </c>
      <c r="M20" s="69"/>
    </row>
    <row r="21" spans="6:13" ht="15.75" thickBot="1">
      <c r="F21" s="33" t="s">
        <v>32</v>
      </c>
      <c r="G21" s="33" t="s">
        <v>32</v>
      </c>
      <c r="H21" s="35" t="s">
        <v>33</v>
      </c>
      <c r="I21" s="35" t="s">
        <v>33</v>
      </c>
      <c r="J21" s="35" t="s">
        <v>33</v>
      </c>
      <c r="K21" s="35" t="s">
        <v>33</v>
      </c>
      <c r="L21" s="68" t="s">
        <v>31</v>
      </c>
      <c r="M21" s="69"/>
    </row>
    <row r="22" spans="6:13" ht="15.75" thickBot="1">
      <c r="F22" s="45">
        <f>0.16+0.295/((1+(0.037*30)^0.601)^1.401)</f>
        <v>0.26683138347038804</v>
      </c>
      <c r="G22" s="45">
        <f>0.13+0.293/((1+(0.089*30)^0.747)^0.835)</f>
        <v>0.24445186688339599</v>
      </c>
      <c r="H22" s="46">
        <v>20</v>
      </c>
      <c r="I22" s="46">
        <f>10</f>
        <v>10</v>
      </c>
      <c r="J22" s="47">
        <f>F22*H22</f>
        <v>5.336627669407761</v>
      </c>
      <c r="K22" s="50">
        <f>G22*I22</f>
        <v>2.4445186688339597</v>
      </c>
      <c r="L22" s="70">
        <f>(J22+K22)*10</f>
        <v>77.8114633824172</v>
      </c>
      <c r="M22" s="71"/>
    </row>
    <row r="24" ht="14.25">
      <c r="F24" s="19" t="s">
        <v>83</v>
      </c>
    </row>
    <row r="25" ht="14.25">
      <c r="F25" s="19" t="s">
        <v>39</v>
      </c>
    </row>
    <row r="26" ht="14.25">
      <c r="F26" s="19" t="s">
        <v>40</v>
      </c>
    </row>
    <row r="27" ht="14.25">
      <c r="F27" s="19" t="s">
        <v>66</v>
      </c>
    </row>
    <row r="28" spans="6:8" ht="14.25">
      <c r="F28" s="19" t="s">
        <v>41</v>
      </c>
      <c r="H28" s="31" t="s">
        <v>67</v>
      </c>
    </row>
    <row r="29" ht="14.25">
      <c r="F29" s="19" t="s">
        <v>42</v>
      </c>
    </row>
  </sheetData>
  <sheetProtection/>
  <mergeCells count="10">
    <mergeCell ref="L21:M21"/>
    <mergeCell ref="L22:M22"/>
    <mergeCell ref="C1:D1"/>
    <mergeCell ref="F19:G19"/>
    <mergeCell ref="H19:I19"/>
    <mergeCell ref="J19:K19"/>
    <mergeCell ref="F1:G1"/>
    <mergeCell ref="H1:I1"/>
    <mergeCell ref="J1:K1"/>
    <mergeCell ref="L20:M20"/>
  </mergeCells>
  <printOptions/>
  <pageMargins left="0.24" right="0.19" top="0.23" bottom="0.16" header="0.5118110236220472" footer="0.5118110236220472"/>
  <pageSetup horizontalDpi="600" verticalDpi="600" orientation="landscape" scale="71" r:id="rId3"/>
  <colBreaks count="1" manualBreakCount="1">
    <brk id="18" max="28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9"/>
  <sheetViews>
    <sheetView view="pageLayout" zoomScaleSheetLayoutView="100" workbookViewId="0" topLeftCell="B31">
      <selection activeCell="J5" sqref="J5"/>
    </sheetView>
  </sheetViews>
  <sheetFormatPr defaultColWidth="9.140625" defaultRowHeight="15"/>
  <cols>
    <col min="1" max="1" width="9.8515625" style="14" customWidth="1"/>
    <col min="2" max="2" width="13.140625" style="14" customWidth="1"/>
    <col min="3" max="3" width="12.28125" style="14" customWidth="1"/>
    <col min="4" max="4" width="12.140625" style="14" customWidth="1"/>
    <col min="5" max="5" width="10.00390625" style="14" customWidth="1"/>
    <col min="6" max="6" width="10.57421875" style="14" customWidth="1"/>
    <col min="7" max="7" width="11.00390625" style="14" customWidth="1"/>
    <col min="8" max="8" width="9.28125" style="14" customWidth="1"/>
    <col min="9" max="9" width="9.8515625" style="14" customWidth="1"/>
    <col min="10" max="10" width="9.140625" style="14" customWidth="1"/>
    <col min="11" max="11" width="10.7109375" style="14" customWidth="1"/>
    <col min="12" max="12" width="11.8515625" style="14" bestFit="1" customWidth="1"/>
    <col min="13" max="13" width="11.00390625" style="14" customWidth="1"/>
    <col min="14" max="14" width="9.140625" style="19" customWidth="1"/>
    <col min="15" max="15" width="11.28125" style="14" bestFit="1" customWidth="1"/>
    <col min="16" max="16384" width="9.140625" style="14" customWidth="1"/>
  </cols>
  <sheetData>
    <row r="1" spans="3:13" ht="32.25" customHeight="1" thickBot="1">
      <c r="C1" s="72" t="s">
        <v>76</v>
      </c>
      <c r="D1" s="73"/>
      <c r="E1" s="48"/>
      <c r="F1" s="68" t="s">
        <v>74</v>
      </c>
      <c r="G1" s="69"/>
      <c r="H1" s="68" t="s">
        <v>75</v>
      </c>
      <c r="I1" s="69"/>
      <c r="J1" s="68" t="s">
        <v>34</v>
      </c>
      <c r="K1" s="69"/>
      <c r="L1" s="49"/>
      <c r="M1" s="49"/>
    </row>
    <row r="2" spans="1:14" ht="48" thickBot="1">
      <c r="A2" s="40" t="s">
        <v>0</v>
      </c>
      <c r="B2" s="33" t="s">
        <v>43</v>
      </c>
      <c r="C2" s="35" t="s">
        <v>77</v>
      </c>
      <c r="D2" s="35" t="s">
        <v>78</v>
      </c>
      <c r="E2" s="35" t="s">
        <v>14</v>
      </c>
      <c r="F2" s="35" t="s">
        <v>77</v>
      </c>
      <c r="G2" s="35" t="s">
        <v>78</v>
      </c>
      <c r="H2" s="35" t="s">
        <v>77</v>
      </c>
      <c r="I2" s="35" t="s">
        <v>79</v>
      </c>
      <c r="J2" s="35" t="s">
        <v>77</v>
      </c>
      <c r="K2" s="35" t="s">
        <v>79</v>
      </c>
      <c r="L2" s="35" t="s">
        <v>34</v>
      </c>
      <c r="M2" s="35" t="s">
        <v>44</v>
      </c>
      <c r="N2" s="32" t="s">
        <v>38</v>
      </c>
    </row>
    <row r="3" spans="1:13" ht="32.25" thickBot="1">
      <c r="A3" s="41"/>
      <c r="B3" s="35" t="s">
        <v>31</v>
      </c>
      <c r="C3" s="35" t="s">
        <v>30</v>
      </c>
      <c r="D3" s="35" t="s">
        <v>30</v>
      </c>
      <c r="E3" s="35" t="s">
        <v>31</v>
      </c>
      <c r="F3" s="33" t="s">
        <v>32</v>
      </c>
      <c r="G3" s="33" t="s">
        <v>32</v>
      </c>
      <c r="H3" s="35" t="s">
        <v>33</v>
      </c>
      <c r="I3" s="35" t="s">
        <v>33</v>
      </c>
      <c r="J3" s="35" t="s">
        <v>33</v>
      </c>
      <c r="K3" s="35" t="s">
        <v>33</v>
      </c>
      <c r="L3" s="35" t="s">
        <v>31</v>
      </c>
      <c r="M3" s="35" t="s">
        <v>31</v>
      </c>
    </row>
    <row r="4" spans="1:14" ht="16.5" thickBot="1">
      <c r="A4" s="42">
        <v>42126</v>
      </c>
      <c r="B4" s="35">
        <v>0</v>
      </c>
      <c r="C4" s="53">
        <v>30</v>
      </c>
      <c r="D4" s="52">
        <v>30</v>
      </c>
      <c r="E4" s="35"/>
      <c r="F4" s="34">
        <f>0.16+0.295/((1+(0.037*C4)^0.601)^1.401)</f>
        <v>0.26683138347038804</v>
      </c>
      <c r="G4" s="34">
        <f>0.13+0.293/((1+(0.089*D4)^0.747)^0.835)</f>
        <v>0.24445186688339599</v>
      </c>
      <c r="H4" s="35">
        <v>20</v>
      </c>
      <c r="I4" s="35">
        <f>10</f>
        <v>10</v>
      </c>
      <c r="J4" s="36">
        <f>F4*H4</f>
        <v>5.336627669407761</v>
      </c>
      <c r="K4" s="37">
        <f>G4*I4</f>
        <v>2.4445186688339597</v>
      </c>
      <c r="L4" s="38">
        <f aca="true" t="shared" si="0" ref="L4:L12">(J4+K4)*10</f>
        <v>77.8114633824172</v>
      </c>
      <c r="M4" s="39" t="s">
        <v>35</v>
      </c>
      <c r="N4" s="19" t="s">
        <v>26</v>
      </c>
    </row>
    <row r="5" spans="1:13" ht="16.5" thickBot="1">
      <c r="A5" s="42">
        <v>42127</v>
      </c>
      <c r="B5" s="35">
        <v>0</v>
      </c>
      <c r="C5" s="54">
        <v>37</v>
      </c>
      <c r="D5" s="35">
        <v>39</v>
      </c>
      <c r="E5" s="35"/>
      <c r="F5" s="34">
        <f aca="true" t="shared" si="1" ref="F5:F12">0.16+0.295/((1+(0.037*C5)^0.601)^1.401)</f>
        <v>0.2572628793598372</v>
      </c>
      <c r="G5" s="34">
        <f aca="true" t="shared" si="2" ref="G5:G12">0.13+0.293/((1+(0.089*D5)^0.747)^0.835)</f>
        <v>0.2321214919654784</v>
      </c>
      <c r="H5" s="35">
        <v>20</v>
      </c>
      <c r="I5" s="35">
        <f>10</f>
        <v>10</v>
      </c>
      <c r="J5" s="36">
        <f aca="true" t="shared" si="3" ref="J5:K12">F5*H5</f>
        <v>5.1452575871967445</v>
      </c>
      <c r="K5" s="37">
        <f t="shared" si="3"/>
        <v>2.321214919654784</v>
      </c>
      <c r="L5" s="38">
        <f t="shared" si="0"/>
        <v>74.6647250685153</v>
      </c>
      <c r="M5" s="38"/>
    </row>
    <row r="6" spans="1:13" ht="16.5" thickBot="1">
      <c r="A6" s="42">
        <v>42128</v>
      </c>
      <c r="B6" s="35">
        <v>0</v>
      </c>
      <c r="C6" s="54">
        <v>42</v>
      </c>
      <c r="D6" s="35">
        <v>45</v>
      </c>
      <c r="E6" s="35"/>
      <c r="F6" s="34">
        <f t="shared" si="1"/>
        <v>0.25165474455757936</v>
      </c>
      <c r="G6" s="34">
        <f t="shared" si="2"/>
        <v>0.22569945168294303</v>
      </c>
      <c r="H6" s="35">
        <v>20</v>
      </c>
      <c r="I6" s="35">
        <f>10</f>
        <v>10</v>
      </c>
      <c r="J6" s="36">
        <f t="shared" si="3"/>
        <v>5.033094891151587</v>
      </c>
      <c r="K6" s="37">
        <f t="shared" si="3"/>
        <v>2.2569945168294305</v>
      </c>
      <c r="L6" s="38">
        <f t="shared" si="0"/>
        <v>72.90089407981017</v>
      </c>
      <c r="M6" s="38"/>
    </row>
    <row r="7" spans="1:14" ht="15.75" thickBot="1">
      <c r="A7" s="42">
        <v>42129</v>
      </c>
      <c r="B7" s="35">
        <v>0</v>
      </c>
      <c r="C7" s="53">
        <v>31</v>
      </c>
      <c r="D7" s="52">
        <v>30</v>
      </c>
      <c r="E7" s="43">
        <f>M7</f>
        <v>4.91056930260703</v>
      </c>
      <c r="F7" s="34">
        <f t="shared" si="1"/>
        <v>0.26531401487531137</v>
      </c>
      <c r="G7" s="34">
        <f t="shared" si="2"/>
        <v>0.24445186688339599</v>
      </c>
      <c r="H7" s="35">
        <v>20</v>
      </c>
      <c r="I7" s="35">
        <f>10</f>
        <v>10</v>
      </c>
      <c r="J7" s="36">
        <f t="shared" si="3"/>
        <v>5.306280297506227</v>
      </c>
      <c r="K7" s="37">
        <f t="shared" si="3"/>
        <v>2.4445186688339597</v>
      </c>
      <c r="L7" s="38">
        <f t="shared" si="0"/>
        <v>77.50798966340186</v>
      </c>
      <c r="M7" s="39">
        <f>$L$22-L6</f>
        <v>4.91056930260703</v>
      </c>
      <c r="N7" s="19" t="s">
        <v>71</v>
      </c>
    </row>
    <row r="8" spans="1:14" ht="15.75" thickBot="1">
      <c r="A8" s="42">
        <v>42130</v>
      </c>
      <c r="B8" s="35">
        <v>0</v>
      </c>
      <c r="C8" s="54">
        <v>45</v>
      </c>
      <c r="D8" s="35">
        <v>44</v>
      </c>
      <c r="E8" s="35"/>
      <c r="F8" s="34">
        <f t="shared" si="1"/>
        <v>0.2486647153029642</v>
      </c>
      <c r="G8" s="34">
        <f t="shared" si="2"/>
        <v>0.22669261085171621</v>
      </c>
      <c r="H8" s="35">
        <v>20</v>
      </c>
      <c r="I8" s="35">
        <f>10</f>
        <v>10</v>
      </c>
      <c r="J8" s="36">
        <f t="shared" si="3"/>
        <v>4.973294306059284</v>
      </c>
      <c r="K8" s="37">
        <f t="shared" si="3"/>
        <v>2.266926108517162</v>
      </c>
      <c r="L8" s="38">
        <f t="shared" si="0"/>
        <v>72.40220414576446</v>
      </c>
      <c r="M8" s="38"/>
      <c r="N8" s="19" t="s">
        <v>70</v>
      </c>
    </row>
    <row r="9" spans="1:13" ht="15.75" thickBot="1">
      <c r="A9" s="42">
        <v>42131</v>
      </c>
      <c r="B9" s="35">
        <v>0</v>
      </c>
      <c r="C9" s="54">
        <v>52</v>
      </c>
      <c r="D9" s="35">
        <v>51</v>
      </c>
      <c r="E9" s="35"/>
      <c r="F9" s="34">
        <f t="shared" si="1"/>
        <v>0.2425541648598546</v>
      </c>
      <c r="G9" s="34">
        <f t="shared" si="2"/>
        <v>0.2202775346398339</v>
      </c>
      <c r="H9" s="35">
        <v>20</v>
      </c>
      <c r="I9" s="35">
        <f>10</f>
        <v>10</v>
      </c>
      <c r="J9" s="36">
        <f t="shared" si="3"/>
        <v>4.851083297197092</v>
      </c>
      <c r="K9" s="37">
        <f t="shared" si="3"/>
        <v>2.2027753463983393</v>
      </c>
      <c r="L9" s="38">
        <f t="shared" si="0"/>
        <v>70.53858643595431</v>
      </c>
      <c r="M9" s="38"/>
    </row>
    <row r="10" spans="1:14" ht="15.75" thickBot="1">
      <c r="A10" s="42">
        <v>42132</v>
      </c>
      <c r="B10" s="35">
        <v>0</v>
      </c>
      <c r="C10" s="53">
        <v>30</v>
      </c>
      <c r="D10" s="52">
        <v>31</v>
      </c>
      <c r="E10" s="43">
        <f>M10</f>
        <v>7.272876946462887</v>
      </c>
      <c r="F10" s="34">
        <f t="shared" si="1"/>
        <v>0.26683138347038804</v>
      </c>
      <c r="G10" s="34">
        <f t="shared" si="2"/>
        <v>0.2428751080365832</v>
      </c>
      <c r="H10" s="35">
        <v>20</v>
      </c>
      <c r="I10" s="35">
        <f>10</f>
        <v>10</v>
      </c>
      <c r="J10" s="36">
        <f t="shared" si="3"/>
        <v>5.336627669407761</v>
      </c>
      <c r="K10" s="37">
        <f t="shared" si="3"/>
        <v>2.428751080365832</v>
      </c>
      <c r="L10" s="38">
        <f t="shared" si="0"/>
        <v>77.65378749773592</v>
      </c>
      <c r="M10" s="39">
        <f>$L$22-L9</f>
        <v>7.272876946462887</v>
      </c>
      <c r="N10" s="19" t="s">
        <v>72</v>
      </c>
    </row>
    <row r="11" spans="1:14" ht="15.75" thickBot="1">
      <c r="A11" s="42">
        <v>42133</v>
      </c>
      <c r="B11" s="44">
        <v>3</v>
      </c>
      <c r="C11" s="55">
        <v>28</v>
      </c>
      <c r="D11" s="35">
        <v>27</v>
      </c>
      <c r="E11" s="35"/>
      <c r="F11" s="34">
        <f t="shared" si="1"/>
        <v>0.2700469893689167</v>
      </c>
      <c r="G11" s="34">
        <f t="shared" si="2"/>
        <v>0.24957949962923653</v>
      </c>
      <c r="H11" s="35">
        <v>20</v>
      </c>
      <c r="I11" s="35">
        <f>10</f>
        <v>10</v>
      </c>
      <c r="J11" s="36">
        <f t="shared" si="3"/>
        <v>5.400939787378334</v>
      </c>
      <c r="K11" s="37">
        <f t="shared" si="3"/>
        <v>2.495794996292365</v>
      </c>
      <c r="L11" s="38">
        <f t="shared" si="0"/>
        <v>78.96734783670699</v>
      </c>
      <c r="M11" s="38"/>
      <c r="N11" s="19" t="s">
        <v>73</v>
      </c>
    </row>
    <row r="12" spans="1:13" ht="15.75" thickBot="1">
      <c r="A12" s="42">
        <v>42134</v>
      </c>
      <c r="B12" s="35">
        <v>0</v>
      </c>
      <c r="C12" s="54">
        <v>31</v>
      </c>
      <c r="D12" s="35">
        <v>32</v>
      </c>
      <c r="E12" s="35"/>
      <c r="F12" s="34">
        <f t="shared" si="1"/>
        <v>0.26531401487531137</v>
      </c>
      <c r="G12" s="34">
        <f t="shared" si="2"/>
        <v>0.2413575649273726</v>
      </c>
      <c r="H12" s="35">
        <v>20</v>
      </c>
      <c r="I12" s="35">
        <f>10</f>
        <v>10</v>
      </c>
      <c r="J12" s="36">
        <f t="shared" si="3"/>
        <v>5.306280297506227</v>
      </c>
      <c r="K12" s="37">
        <f t="shared" si="3"/>
        <v>2.413575649273726</v>
      </c>
      <c r="L12" s="38">
        <f t="shared" si="0"/>
        <v>77.19855946779953</v>
      </c>
      <c r="M12" s="38"/>
    </row>
    <row r="13" spans="3:15" ht="14.25">
      <c r="C13" s="19" t="s">
        <v>90</v>
      </c>
      <c r="O13" s="16" t="s">
        <v>19</v>
      </c>
    </row>
    <row r="14" ht="14.25">
      <c r="C14" s="19" t="s">
        <v>18</v>
      </c>
    </row>
    <row r="16" ht="14.25">
      <c r="F16" s="15" t="s">
        <v>36</v>
      </c>
    </row>
    <row r="17" ht="14.25">
      <c r="F17" s="15" t="s">
        <v>37</v>
      </c>
    </row>
    <row r="18" ht="15" thickBot="1">
      <c r="F18" s="15" t="s">
        <v>80</v>
      </c>
    </row>
    <row r="19" spans="6:11" ht="15.75" thickBot="1">
      <c r="F19" s="68" t="s">
        <v>74</v>
      </c>
      <c r="G19" s="69"/>
      <c r="H19" s="68" t="s">
        <v>75</v>
      </c>
      <c r="I19" s="69"/>
      <c r="J19" s="68" t="s">
        <v>82</v>
      </c>
      <c r="K19" s="74"/>
    </row>
    <row r="20" spans="6:13" ht="32.25" customHeight="1" thickBot="1">
      <c r="F20" s="35" t="s">
        <v>77</v>
      </c>
      <c r="G20" s="35" t="s">
        <v>78</v>
      </c>
      <c r="H20" s="35" t="s">
        <v>77</v>
      </c>
      <c r="I20" s="35" t="s">
        <v>79</v>
      </c>
      <c r="J20" s="35" t="s">
        <v>77</v>
      </c>
      <c r="K20" s="35" t="s">
        <v>79</v>
      </c>
      <c r="L20" s="68" t="s">
        <v>81</v>
      </c>
      <c r="M20" s="69"/>
    </row>
    <row r="21" spans="6:13" ht="15.75" thickBot="1">
      <c r="F21" s="33" t="s">
        <v>32</v>
      </c>
      <c r="G21" s="33" t="s">
        <v>32</v>
      </c>
      <c r="H21" s="35" t="s">
        <v>33</v>
      </c>
      <c r="I21" s="35" t="s">
        <v>33</v>
      </c>
      <c r="J21" s="35" t="s">
        <v>33</v>
      </c>
      <c r="K21" s="35" t="s">
        <v>33</v>
      </c>
      <c r="L21" s="68" t="s">
        <v>31</v>
      </c>
      <c r="M21" s="69"/>
    </row>
    <row r="22" spans="6:13" ht="15.75" thickBot="1">
      <c r="F22" s="45">
        <f>0.16+0.295/((1+(0.037*30)^0.601)^1.401)</f>
        <v>0.26683138347038804</v>
      </c>
      <c r="G22" s="45">
        <f>0.13+0.293/((1+(0.089*30)^0.747)^0.835)</f>
        <v>0.24445186688339599</v>
      </c>
      <c r="H22" s="46">
        <v>20</v>
      </c>
      <c r="I22" s="46">
        <f>10</f>
        <v>10</v>
      </c>
      <c r="J22" s="47">
        <f>F22*H22</f>
        <v>5.336627669407761</v>
      </c>
      <c r="K22" s="50">
        <f>G22*I22</f>
        <v>2.4445186688339597</v>
      </c>
      <c r="L22" s="70">
        <f>(J22+K22)*10</f>
        <v>77.8114633824172</v>
      </c>
      <c r="M22" s="71"/>
    </row>
    <row r="24" ht="14.25">
      <c r="F24" s="19" t="s">
        <v>83</v>
      </c>
    </row>
    <row r="25" ht="14.25">
      <c r="F25" s="19" t="s">
        <v>39</v>
      </c>
    </row>
    <row r="26" ht="14.25">
      <c r="F26" s="19" t="s">
        <v>40</v>
      </c>
    </row>
    <row r="27" ht="14.25">
      <c r="F27" s="19" t="s">
        <v>66</v>
      </c>
    </row>
    <row r="28" spans="6:8" ht="14.25">
      <c r="F28" s="19" t="s">
        <v>41</v>
      </c>
      <c r="H28" s="31" t="s">
        <v>67</v>
      </c>
    </row>
    <row r="29" ht="14.25">
      <c r="F29" s="19" t="s">
        <v>42</v>
      </c>
    </row>
    <row r="30" ht="15" thickBot="1"/>
    <row r="31" spans="6:11" ht="15.75" thickBot="1">
      <c r="F31" s="68" t="s">
        <v>84</v>
      </c>
      <c r="G31" s="69"/>
      <c r="H31" s="68" t="s">
        <v>75</v>
      </c>
      <c r="I31" s="69"/>
      <c r="J31" s="68" t="s">
        <v>85</v>
      </c>
      <c r="K31" s="74"/>
    </row>
    <row r="32" spans="6:13" ht="15.75" thickBot="1">
      <c r="F32" s="35" t="s">
        <v>77</v>
      </c>
      <c r="G32" s="35" t="s">
        <v>78</v>
      </c>
      <c r="H32" s="35" t="s">
        <v>77</v>
      </c>
      <c r="I32" s="35" t="s">
        <v>79</v>
      </c>
      <c r="J32" s="35" t="s">
        <v>77</v>
      </c>
      <c r="K32" s="35" t="s">
        <v>79</v>
      </c>
      <c r="L32" s="68" t="s">
        <v>85</v>
      </c>
      <c r="M32" s="69"/>
    </row>
    <row r="33" spans="6:13" ht="15.75" thickBot="1">
      <c r="F33" s="33" t="s">
        <v>32</v>
      </c>
      <c r="G33" s="33" t="s">
        <v>32</v>
      </c>
      <c r="H33" s="35" t="s">
        <v>33</v>
      </c>
      <c r="I33" s="35" t="s">
        <v>33</v>
      </c>
      <c r="J33" s="35" t="s">
        <v>33</v>
      </c>
      <c r="K33" s="35" t="s">
        <v>33</v>
      </c>
      <c r="L33" s="68" t="s">
        <v>31</v>
      </c>
      <c r="M33" s="69"/>
    </row>
    <row r="34" spans="6:13" ht="15.75" thickBot="1">
      <c r="F34" s="45">
        <f>0.16+0.295/((1+(0.037*1500)^0.601)^1.401)</f>
        <v>0.16889173872887192</v>
      </c>
      <c r="G34" s="45">
        <f>0.13+0.293/((1+(0.089*1500)^0.747)^0.835)</f>
        <v>0.1435474758664569</v>
      </c>
      <c r="H34" s="46">
        <v>20</v>
      </c>
      <c r="I34" s="46">
        <f>10</f>
        <v>10</v>
      </c>
      <c r="J34" s="47">
        <f>F34*H34</f>
        <v>3.3778347745774386</v>
      </c>
      <c r="K34" s="50">
        <f>G34*I34</f>
        <v>1.4354747586645689</v>
      </c>
      <c r="L34" s="70">
        <f>(J34+K34)*10</f>
        <v>48.13309533242007</v>
      </c>
      <c r="M34" s="71"/>
    </row>
    <row r="36" spans="5:7" ht="15.75" thickBot="1">
      <c r="E36" s="42">
        <v>42126</v>
      </c>
      <c r="F36" s="57" t="s">
        <v>24</v>
      </c>
      <c r="G36" s="58" t="s">
        <v>14</v>
      </c>
    </row>
    <row r="37" spans="5:8" ht="15.75" thickBot="1">
      <c r="E37" s="42">
        <v>42127</v>
      </c>
      <c r="F37" s="57" t="s">
        <v>89</v>
      </c>
      <c r="G37" s="58">
        <f>$L$22-L4</f>
        <v>0</v>
      </c>
      <c r="H37" s="56"/>
    </row>
    <row r="38" spans="5:8" ht="15.75" thickBot="1">
      <c r="E38" s="42">
        <v>42128</v>
      </c>
      <c r="F38" s="57" t="s">
        <v>89</v>
      </c>
      <c r="G38" s="58">
        <f aca="true" t="shared" si="4" ref="G38:G44">$L$22-L5</f>
        <v>3.1467383139019063</v>
      </c>
      <c r="H38" s="56"/>
    </row>
    <row r="39" spans="5:9" ht="15.75" thickBot="1">
      <c r="E39" s="42">
        <v>42129</v>
      </c>
      <c r="F39" s="57" t="s">
        <v>89</v>
      </c>
      <c r="G39" s="60">
        <f>$L$22-L6</f>
        <v>4.91056930260703</v>
      </c>
      <c r="H39" s="59"/>
      <c r="I39" s="14" t="s">
        <v>88</v>
      </c>
    </row>
    <row r="40" spans="5:8" ht="15.75" thickBot="1">
      <c r="E40" s="42">
        <v>42130</v>
      </c>
      <c r="F40" s="57" t="s">
        <v>89</v>
      </c>
      <c r="G40" s="58">
        <f t="shared" si="4"/>
        <v>0.3034737190153436</v>
      </c>
      <c r="H40" s="59"/>
    </row>
    <row r="41" spans="5:8" ht="15.75" thickBot="1">
      <c r="E41" s="42">
        <v>42131</v>
      </c>
      <c r="F41" s="57" t="s">
        <v>89</v>
      </c>
      <c r="G41" s="58">
        <f t="shared" si="4"/>
        <v>5.409259236652744</v>
      </c>
      <c r="H41" s="59"/>
    </row>
    <row r="42" spans="5:9" ht="15.75" thickBot="1">
      <c r="E42" s="42">
        <v>42132</v>
      </c>
      <c r="F42" s="57" t="s">
        <v>89</v>
      </c>
      <c r="G42" s="60">
        <f t="shared" si="4"/>
        <v>7.272876946462887</v>
      </c>
      <c r="H42" s="59"/>
      <c r="I42" s="14" t="s">
        <v>91</v>
      </c>
    </row>
    <row r="43" spans="5:8" ht="15.75" thickBot="1">
      <c r="E43" s="42">
        <v>42133</v>
      </c>
      <c r="F43" s="57" t="s">
        <v>89</v>
      </c>
      <c r="G43" s="58">
        <f t="shared" si="4"/>
        <v>0.15767588468128224</v>
      </c>
      <c r="H43" s="59"/>
    </row>
    <row r="44" spans="5:8" ht="15.75" thickBot="1">
      <c r="E44" s="42">
        <v>42134</v>
      </c>
      <c r="F44" s="57" t="s">
        <v>89</v>
      </c>
      <c r="G44" s="58">
        <f t="shared" si="4"/>
        <v>-1.1558844542897901</v>
      </c>
      <c r="H44" s="59"/>
    </row>
    <row r="46" ht="14.25">
      <c r="F46" s="19" t="s">
        <v>86</v>
      </c>
    </row>
    <row r="47" ht="14.25">
      <c r="F47" s="19" t="s">
        <v>87</v>
      </c>
    </row>
    <row r="49" ht="14.25">
      <c r="D49" s="64" t="s">
        <v>92</v>
      </c>
    </row>
    <row r="50" spans="4:8" ht="14.25">
      <c r="D50" s="2" t="s">
        <v>0</v>
      </c>
      <c r="E50" s="75" t="s">
        <v>94</v>
      </c>
      <c r="F50" s="76"/>
      <c r="G50" s="2" t="s">
        <v>95</v>
      </c>
      <c r="H50" s="2" t="s">
        <v>93</v>
      </c>
    </row>
    <row r="51" spans="4:8" ht="15">
      <c r="D51" s="62">
        <v>42126</v>
      </c>
      <c r="E51" s="57" t="s">
        <v>24</v>
      </c>
      <c r="F51" s="63">
        <f>L22-L34</f>
        <v>29.678368049997133</v>
      </c>
      <c r="G51" s="63">
        <f aca="true" t="shared" si="5" ref="G51:G59">$F$51-F51</f>
        <v>0</v>
      </c>
      <c r="H51" s="2" t="s">
        <v>35</v>
      </c>
    </row>
    <row r="52" spans="4:8" ht="15">
      <c r="D52" s="62">
        <v>42127</v>
      </c>
      <c r="E52" s="57" t="s">
        <v>89</v>
      </c>
      <c r="F52" s="63">
        <f aca="true" t="shared" si="6" ref="F52:F59">L5-$L$34</f>
        <v>26.531629736095226</v>
      </c>
      <c r="G52" s="63">
        <f t="shared" si="5"/>
        <v>3.1467383139019063</v>
      </c>
      <c r="H52" s="63">
        <f>G51</f>
        <v>0</v>
      </c>
    </row>
    <row r="53" spans="4:8" ht="15">
      <c r="D53" s="62">
        <v>42128</v>
      </c>
      <c r="E53" s="57" t="s">
        <v>89</v>
      </c>
      <c r="F53" s="63">
        <f t="shared" si="6"/>
        <v>24.767798747390103</v>
      </c>
      <c r="G53" s="63">
        <f t="shared" si="5"/>
        <v>4.91056930260703</v>
      </c>
      <c r="H53" s="63">
        <f aca="true" t="shared" si="7" ref="H53:H59">G52</f>
        <v>3.1467383139019063</v>
      </c>
    </row>
    <row r="54" spans="4:8" ht="15">
      <c r="D54" s="62">
        <v>42129</v>
      </c>
      <c r="E54" s="57" t="s">
        <v>89</v>
      </c>
      <c r="F54" s="63">
        <f t="shared" si="6"/>
        <v>29.37489433098179</v>
      </c>
      <c r="G54" s="63">
        <f t="shared" si="5"/>
        <v>0.3034737190153436</v>
      </c>
      <c r="H54" s="63">
        <f t="shared" si="7"/>
        <v>4.91056930260703</v>
      </c>
    </row>
    <row r="55" spans="4:8" ht="15">
      <c r="D55" s="62">
        <v>42130</v>
      </c>
      <c r="E55" s="57" t="s">
        <v>89</v>
      </c>
      <c r="F55" s="63">
        <f t="shared" si="6"/>
        <v>24.26910881334439</v>
      </c>
      <c r="G55" s="63">
        <f t="shared" si="5"/>
        <v>5.409259236652744</v>
      </c>
      <c r="H55" s="63">
        <f t="shared" si="7"/>
        <v>0.3034737190153436</v>
      </c>
    </row>
    <row r="56" spans="4:8" ht="15">
      <c r="D56" s="62">
        <v>42131</v>
      </c>
      <c r="E56" s="57" t="s">
        <v>89</v>
      </c>
      <c r="F56" s="63">
        <f t="shared" si="6"/>
        <v>22.405491103534246</v>
      </c>
      <c r="G56" s="63">
        <f t="shared" si="5"/>
        <v>7.272876946462887</v>
      </c>
      <c r="H56" s="63">
        <f t="shared" si="7"/>
        <v>5.409259236652744</v>
      </c>
    </row>
    <row r="57" spans="4:8" ht="15">
      <c r="D57" s="62">
        <v>42132</v>
      </c>
      <c r="E57" s="57" t="s">
        <v>89</v>
      </c>
      <c r="F57" s="63">
        <f t="shared" si="6"/>
        <v>29.52069216531585</v>
      </c>
      <c r="G57" s="63">
        <f t="shared" si="5"/>
        <v>0.15767588468128224</v>
      </c>
      <c r="H57" s="63">
        <f t="shared" si="7"/>
        <v>7.272876946462887</v>
      </c>
    </row>
    <row r="58" spans="4:8" ht="15">
      <c r="D58" s="62">
        <v>42133</v>
      </c>
      <c r="E58" s="57" t="s">
        <v>89</v>
      </c>
      <c r="F58" s="63">
        <f t="shared" si="6"/>
        <v>30.834252504286923</v>
      </c>
      <c r="G58" s="63">
        <f t="shared" si="5"/>
        <v>-1.1558844542897901</v>
      </c>
      <c r="H58" s="63">
        <f t="shared" si="7"/>
        <v>0.15767588468128224</v>
      </c>
    </row>
    <row r="59" spans="4:8" ht="15">
      <c r="D59" s="62">
        <v>42134</v>
      </c>
      <c r="E59" s="57" t="s">
        <v>89</v>
      </c>
      <c r="F59" s="63">
        <f t="shared" si="6"/>
        <v>29.065464135379457</v>
      </c>
      <c r="G59" s="63">
        <f t="shared" si="5"/>
        <v>0.6129039146176751</v>
      </c>
      <c r="H59" s="63">
        <f t="shared" si="7"/>
        <v>-1.1558844542897901</v>
      </c>
    </row>
  </sheetData>
  <sheetProtection/>
  <mergeCells count="17">
    <mergeCell ref="E50:F50"/>
    <mergeCell ref="J19:K19"/>
    <mergeCell ref="L20:M20"/>
    <mergeCell ref="L33:M33"/>
    <mergeCell ref="L34:M34"/>
    <mergeCell ref="L21:M21"/>
    <mergeCell ref="L22:M22"/>
    <mergeCell ref="F31:G31"/>
    <mergeCell ref="H31:I31"/>
    <mergeCell ref="J31:K31"/>
    <mergeCell ref="L32:M32"/>
    <mergeCell ref="C1:D1"/>
    <mergeCell ref="F1:G1"/>
    <mergeCell ref="H1:I1"/>
    <mergeCell ref="J1:K1"/>
    <mergeCell ref="F19:G19"/>
    <mergeCell ref="H19:I19"/>
  </mergeCells>
  <printOptions/>
  <pageMargins left="0.787401575" right="0.787401575" top="0.984251969" bottom="0.984251969" header="0.492125985" footer="0.492125985"/>
  <pageSetup horizontalDpi="600" verticalDpi="600" orientation="landscape" paperSize="9" scale="6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7:M30"/>
  <sheetViews>
    <sheetView tabSelected="1" zoomScaleSheetLayoutView="100" zoomScalePageLayoutView="0" workbookViewId="0" topLeftCell="A1">
      <selection activeCell="C3" sqref="C3"/>
    </sheetView>
  </sheetViews>
  <sheetFormatPr defaultColWidth="9.140625" defaultRowHeight="15"/>
  <cols>
    <col min="1" max="1" width="11.00390625" style="0" bestFit="1" customWidth="1"/>
    <col min="8" max="8" width="13.57421875" style="0" customWidth="1"/>
    <col min="9" max="10" width="12.7109375" style="0" customWidth="1"/>
    <col min="11" max="11" width="14.57421875" style="0" bestFit="1" customWidth="1"/>
    <col min="12" max="12" width="14.7109375" style="0" customWidth="1"/>
    <col min="13" max="13" width="9.57421875" style="0" bestFit="1" customWidth="1"/>
    <col min="14" max="14" width="14.421875" style="0" bestFit="1" customWidth="1"/>
  </cols>
  <sheetData>
    <row r="7" spans="1:3" ht="15">
      <c r="A7" s="24" t="s">
        <v>16</v>
      </c>
      <c r="B7" s="24">
        <f>(22-13)/10*1.4*40</f>
        <v>50.4</v>
      </c>
      <c r="C7" s="30" t="s">
        <v>65</v>
      </c>
    </row>
    <row r="8" spans="1:11" ht="15">
      <c r="A8" s="29" t="s">
        <v>51</v>
      </c>
      <c r="B8" s="29">
        <f>B7*0.3</f>
        <v>15.12</v>
      </c>
      <c r="C8" s="30" t="s">
        <v>64</v>
      </c>
      <c r="K8" s="13"/>
    </row>
    <row r="9" spans="1:11" ht="15">
      <c r="A9" s="24" t="s">
        <v>47</v>
      </c>
      <c r="B9" s="24">
        <f>B7-B8</f>
        <v>35.28</v>
      </c>
      <c r="C9" s="30" t="s">
        <v>63</v>
      </c>
      <c r="K9" s="13"/>
    </row>
    <row r="11" spans="1:12" ht="15">
      <c r="A11" s="1" t="s">
        <v>9</v>
      </c>
      <c r="B11" s="1" t="s">
        <v>10</v>
      </c>
      <c r="C11" s="1" t="s">
        <v>4</v>
      </c>
      <c r="D11" s="1" t="s">
        <v>11</v>
      </c>
      <c r="E11" s="1" t="s">
        <v>5</v>
      </c>
      <c r="F11" s="1" t="s">
        <v>12</v>
      </c>
      <c r="G11" s="1" t="s">
        <v>13</v>
      </c>
      <c r="H11" s="1" t="s">
        <v>48</v>
      </c>
      <c r="I11" s="1" t="s">
        <v>49</v>
      </c>
      <c r="J11" s="1" t="s">
        <v>52</v>
      </c>
      <c r="K11" s="1" t="s">
        <v>53</v>
      </c>
      <c r="L11" s="1" t="s">
        <v>50</v>
      </c>
    </row>
    <row r="12" spans="1:12" ht="15">
      <c r="A12" s="1"/>
      <c r="B12" s="1" t="s">
        <v>15</v>
      </c>
      <c r="C12" s="1"/>
      <c r="D12" s="1" t="s">
        <v>15</v>
      </c>
      <c r="E12" s="1"/>
      <c r="F12" s="1" t="s">
        <v>15</v>
      </c>
      <c r="G12" s="1" t="s">
        <v>15</v>
      </c>
      <c r="H12" s="1" t="s">
        <v>15</v>
      </c>
      <c r="I12" s="1" t="s">
        <v>15</v>
      </c>
      <c r="J12" s="1" t="s">
        <v>15</v>
      </c>
      <c r="K12" s="1" t="s">
        <v>15</v>
      </c>
      <c r="L12" s="1" t="s">
        <v>15</v>
      </c>
    </row>
    <row r="13" spans="1:12" ht="15">
      <c r="A13" s="1"/>
      <c r="B13" s="1"/>
      <c r="C13" s="1"/>
      <c r="D13" s="1"/>
      <c r="E13" s="1"/>
      <c r="F13" s="1"/>
      <c r="G13" s="1"/>
      <c r="H13" s="1"/>
      <c r="I13" s="3">
        <v>36.1</v>
      </c>
      <c r="J13" s="3"/>
      <c r="K13" s="61">
        <f>B7-I13</f>
        <v>14.299999999999997</v>
      </c>
      <c r="L13" s="1">
        <f>B7</f>
        <v>50.4</v>
      </c>
    </row>
    <row r="14" spans="1:12" ht="15">
      <c r="A14" s="2">
        <v>64</v>
      </c>
      <c r="B14" s="3">
        <v>5.67</v>
      </c>
      <c r="C14" s="2">
        <v>0.75</v>
      </c>
      <c r="D14" s="3">
        <f>B14*C14</f>
        <v>4.2524999999999995</v>
      </c>
      <c r="E14" s="2">
        <v>1.2</v>
      </c>
      <c r="F14" s="3">
        <f>E14*D14</f>
        <v>5.102999999999999</v>
      </c>
      <c r="G14" s="3">
        <v>0</v>
      </c>
      <c r="H14" s="5">
        <f>L13</f>
        <v>50.4</v>
      </c>
      <c r="I14" s="3">
        <f>H14-F14+G14</f>
        <v>45.297</v>
      </c>
      <c r="J14" s="3">
        <f>$B$9</f>
        <v>35.28</v>
      </c>
      <c r="K14" s="3"/>
      <c r="L14" s="3"/>
    </row>
    <row r="15" spans="1:12" ht="15">
      <c r="A15" s="2">
        <v>65</v>
      </c>
      <c r="B15" s="3">
        <v>5.23</v>
      </c>
      <c r="C15" s="2">
        <v>0.75</v>
      </c>
      <c r="D15" s="3">
        <f aca="true" t="shared" si="0" ref="D15:D30">B15*C15</f>
        <v>3.9225000000000003</v>
      </c>
      <c r="E15" s="2">
        <v>1.2</v>
      </c>
      <c r="F15" s="3">
        <f aca="true" t="shared" si="1" ref="F15:F30">E15*D15</f>
        <v>4.707</v>
      </c>
      <c r="G15" s="3">
        <v>0</v>
      </c>
      <c r="H15" s="3">
        <f>I14</f>
        <v>45.297</v>
      </c>
      <c r="I15" s="3">
        <f>H15-F15+G15</f>
        <v>40.589999999999996</v>
      </c>
      <c r="J15" s="3">
        <f aca="true" t="shared" si="2" ref="J15:J30">$B$9</f>
        <v>35.28</v>
      </c>
      <c r="K15" s="3"/>
      <c r="L15" s="3"/>
    </row>
    <row r="16" spans="1:12" ht="15">
      <c r="A16" s="2">
        <v>66</v>
      </c>
      <c r="B16" s="3">
        <v>3.41</v>
      </c>
      <c r="C16" s="2">
        <v>0.85</v>
      </c>
      <c r="D16" s="3">
        <f t="shared" si="0"/>
        <v>2.8985</v>
      </c>
      <c r="E16" s="2">
        <v>1.2</v>
      </c>
      <c r="F16" s="3">
        <f t="shared" si="1"/>
        <v>3.4781999999999997</v>
      </c>
      <c r="G16" s="3">
        <v>0</v>
      </c>
      <c r="H16" s="3">
        <f>I15</f>
        <v>40.589999999999996</v>
      </c>
      <c r="I16" s="3">
        <f aca="true" t="shared" si="3" ref="I16:I30">H16-F16+G16</f>
        <v>37.111799999999995</v>
      </c>
      <c r="J16" s="3">
        <f t="shared" si="2"/>
        <v>35.28</v>
      </c>
      <c r="K16" s="3"/>
      <c r="L16" s="3"/>
    </row>
    <row r="17" spans="1:12" ht="15">
      <c r="A17" s="2">
        <v>67</v>
      </c>
      <c r="B17" s="3">
        <v>2.74</v>
      </c>
      <c r="C17" s="2">
        <v>0.85</v>
      </c>
      <c r="D17" s="3">
        <f t="shared" si="0"/>
        <v>2.329</v>
      </c>
      <c r="E17" s="2">
        <v>1.2</v>
      </c>
      <c r="F17" s="3">
        <f t="shared" si="1"/>
        <v>2.7948</v>
      </c>
      <c r="G17" s="3">
        <v>10</v>
      </c>
      <c r="H17" s="3">
        <f>I16</f>
        <v>37.111799999999995</v>
      </c>
      <c r="I17" s="3">
        <f t="shared" si="3"/>
        <v>44.31699999999999</v>
      </c>
      <c r="J17" s="3">
        <f t="shared" si="2"/>
        <v>35.28</v>
      </c>
      <c r="K17" s="3"/>
      <c r="L17" s="3"/>
    </row>
    <row r="18" spans="1:12" ht="15">
      <c r="A18" s="2">
        <v>68</v>
      </c>
      <c r="B18" s="3">
        <v>4.7</v>
      </c>
      <c r="C18" s="2">
        <v>0.85</v>
      </c>
      <c r="D18" s="3">
        <f t="shared" si="0"/>
        <v>3.995</v>
      </c>
      <c r="E18" s="2">
        <v>1.2</v>
      </c>
      <c r="F18" s="3">
        <f t="shared" si="1"/>
        <v>4.794</v>
      </c>
      <c r="G18" s="3">
        <v>0</v>
      </c>
      <c r="H18" s="3">
        <f>I17</f>
        <v>44.31699999999999</v>
      </c>
      <c r="I18" s="3">
        <f t="shared" si="3"/>
        <v>39.522999999999996</v>
      </c>
      <c r="J18" s="3">
        <f t="shared" si="2"/>
        <v>35.28</v>
      </c>
      <c r="K18" s="3"/>
      <c r="L18" s="3"/>
    </row>
    <row r="19" spans="1:13" ht="18.75">
      <c r="A19" s="2">
        <v>69</v>
      </c>
      <c r="B19" s="3">
        <v>4.56</v>
      </c>
      <c r="C19" s="2">
        <v>0.75</v>
      </c>
      <c r="D19" s="3">
        <f t="shared" si="0"/>
        <v>3.42</v>
      </c>
      <c r="E19" s="2">
        <v>1.2</v>
      </c>
      <c r="F19" s="3">
        <f t="shared" si="1"/>
        <v>4.104</v>
      </c>
      <c r="G19" s="3">
        <v>0</v>
      </c>
      <c r="H19" s="3">
        <f>I18</f>
        <v>39.522999999999996</v>
      </c>
      <c r="I19" s="6">
        <f>H19-F19+G19</f>
        <v>35.419</v>
      </c>
      <c r="J19" s="6">
        <f t="shared" si="2"/>
        <v>35.28</v>
      </c>
      <c r="K19" s="3">
        <f>B7-I19</f>
        <v>14.981000000000002</v>
      </c>
      <c r="L19" s="4">
        <f>50.4</f>
        <v>50.4</v>
      </c>
      <c r="M19" t="s">
        <v>45</v>
      </c>
    </row>
    <row r="20" spans="1:13" ht="15">
      <c r="A20" s="2">
        <v>70</v>
      </c>
      <c r="B20" s="3">
        <v>2.56</v>
      </c>
      <c r="C20" s="2">
        <v>0.75</v>
      </c>
      <c r="D20" s="3">
        <f t="shared" si="0"/>
        <v>1.92</v>
      </c>
      <c r="E20" s="2">
        <v>1.2</v>
      </c>
      <c r="F20" s="3">
        <f t="shared" si="1"/>
        <v>2.304</v>
      </c>
      <c r="G20" s="3">
        <v>5</v>
      </c>
      <c r="H20" s="5">
        <f>L19</f>
        <v>50.4</v>
      </c>
      <c r="I20" s="65">
        <f>H20-F20+G20</f>
        <v>53.096</v>
      </c>
      <c r="J20" s="3">
        <f t="shared" si="2"/>
        <v>35.28</v>
      </c>
      <c r="K20" s="3"/>
      <c r="L20" s="4">
        <f>$B$7</f>
        <v>50.4</v>
      </c>
      <c r="M20" t="s">
        <v>46</v>
      </c>
    </row>
    <row r="21" spans="1:13" ht="15">
      <c r="A21" s="2">
        <v>71</v>
      </c>
      <c r="B21" s="3">
        <v>3</v>
      </c>
      <c r="C21" s="2">
        <v>0.75</v>
      </c>
      <c r="D21" s="3">
        <f t="shared" si="0"/>
        <v>2.25</v>
      </c>
      <c r="E21" s="2">
        <v>1.2</v>
      </c>
      <c r="F21" s="3">
        <f t="shared" si="1"/>
        <v>2.6999999999999997</v>
      </c>
      <c r="G21" s="3">
        <v>4</v>
      </c>
      <c r="H21" s="5">
        <v>50.4</v>
      </c>
      <c r="I21" s="65">
        <f>H21-F21+G21</f>
        <v>51.699999999999996</v>
      </c>
      <c r="J21" s="3">
        <f t="shared" si="2"/>
        <v>35.28</v>
      </c>
      <c r="K21" s="3"/>
      <c r="L21" s="4">
        <f>$B$7</f>
        <v>50.4</v>
      </c>
      <c r="M21" t="s">
        <v>46</v>
      </c>
    </row>
    <row r="22" spans="1:12" ht="15">
      <c r="A22" s="2">
        <v>72</v>
      </c>
      <c r="B22" s="3">
        <v>3.33</v>
      </c>
      <c r="C22" s="2">
        <v>0.75</v>
      </c>
      <c r="D22" s="3">
        <f t="shared" si="0"/>
        <v>2.4975</v>
      </c>
      <c r="E22" s="2">
        <v>1.2</v>
      </c>
      <c r="F22" s="3">
        <f t="shared" si="1"/>
        <v>2.997</v>
      </c>
      <c r="G22" s="3">
        <v>0</v>
      </c>
      <c r="H22" s="5">
        <f>L21</f>
        <v>50.4</v>
      </c>
      <c r="I22" s="3">
        <f>H22-F22+G22</f>
        <v>47.403</v>
      </c>
      <c r="J22" s="3">
        <f t="shared" si="2"/>
        <v>35.28</v>
      </c>
      <c r="K22" s="3"/>
      <c r="L22" s="4">
        <f>$B$7</f>
        <v>50.4</v>
      </c>
    </row>
    <row r="23" spans="1:12" ht="15">
      <c r="A23" s="2">
        <v>73</v>
      </c>
      <c r="B23" s="3">
        <v>4.67</v>
      </c>
      <c r="C23" s="2">
        <v>0.75</v>
      </c>
      <c r="D23" s="3">
        <f t="shared" si="0"/>
        <v>3.5025</v>
      </c>
      <c r="E23" s="2">
        <v>1.2</v>
      </c>
      <c r="F23" s="3">
        <f t="shared" si="1"/>
        <v>4.202999999999999</v>
      </c>
      <c r="G23" s="3">
        <v>0</v>
      </c>
      <c r="H23" s="3">
        <f>I22</f>
        <v>47.403</v>
      </c>
      <c r="I23" s="3">
        <f t="shared" si="3"/>
        <v>43.2</v>
      </c>
      <c r="J23" s="3">
        <f t="shared" si="2"/>
        <v>35.28</v>
      </c>
      <c r="K23" s="3"/>
      <c r="L23" s="3"/>
    </row>
    <row r="24" spans="1:12" ht="15">
      <c r="A24" s="2">
        <v>74</v>
      </c>
      <c r="B24" s="3">
        <v>4.32</v>
      </c>
      <c r="C24" s="2">
        <v>0.85</v>
      </c>
      <c r="D24" s="3">
        <f t="shared" si="0"/>
        <v>3.672</v>
      </c>
      <c r="E24" s="2">
        <v>1.2</v>
      </c>
      <c r="F24" s="3">
        <f t="shared" si="1"/>
        <v>4.4064</v>
      </c>
      <c r="G24" s="3">
        <v>0</v>
      </c>
      <c r="H24" s="3">
        <f>I23</f>
        <v>43.2</v>
      </c>
      <c r="I24" s="3">
        <f t="shared" si="3"/>
        <v>38.793600000000005</v>
      </c>
      <c r="J24" s="3">
        <f t="shared" si="2"/>
        <v>35.28</v>
      </c>
      <c r="K24" s="3"/>
      <c r="L24" s="3"/>
    </row>
    <row r="25" spans="1:13" ht="18.75">
      <c r="A25" s="2">
        <v>75</v>
      </c>
      <c r="B25" s="3">
        <v>5.09</v>
      </c>
      <c r="C25" s="2">
        <v>0.85</v>
      </c>
      <c r="D25" s="3">
        <f t="shared" si="0"/>
        <v>4.326499999999999</v>
      </c>
      <c r="E25" s="2">
        <v>1.2</v>
      </c>
      <c r="F25" s="3">
        <f t="shared" si="1"/>
        <v>5.191799999999999</v>
      </c>
      <c r="G25" s="3">
        <v>0</v>
      </c>
      <c r="H25" s="3">
        <f>I24</f>
        <v>38.793600000000005</v>
      </c>
      <c r="I25" s="6">
        <f t="shared" si="3"/>
        <v>33.601800000000004</v>
      </c>
      <c r="J25" s="6">
        <f t="shared" si="2"/>
        <v>35.28</v>
      </c>
      <c r="K25" s="3">
        <f>B7-I25</f>
        <v>16.798199999999994</v>
      </c>
      <c r="L25" s="4">
        <f>50.4</f>
        <v>50.4</v>
      </c>
      <c r="M25" t="s">
        <v>45</v>
      </c>
    </row>
    <row r="26" spans="1:12" ht="14.25">
      <c r="A26" s="2">
        <v>76</v>
      </c>
      <c r="B26" s="3">
        <v>3.62</v>
      </c>
      <c r="C26" s="2">
        <v>0.85</v>
      </c>
      <c r="D26" s="3">
        <f t="shared" si="0"/>
        <v>3.077</v>
      </c>
      <c r="E26" s="2">
        <v>1.2</v>
      </c>
      <c r="F26" s="3">
        <f t="shared" si="1"/>
        <v>3.6923999999999997</v>
      </c>
      <c r="G26" s="3">
        <v>0</v>
      </c>
      <c r="H26" s="5">
        <f>L25</f>
        <v>50.4</v>
      </c>
      <c r="I26" s="3">
        <f t="shared" si="3"/>
        <v>46.7076</v>
      </c>
      <c r="J26" s="3">
        <f t="shared" si="2"/>
        <v>35.28</v>
      </c>
      <c r="K26" s="3"/>
      <c r="L26" s="3"/>
    </row>
    <row r="27" spans="1:12" ht="14.25">
      <c r="A27" s="2">
        <v>77</v>
      </c>
      <c r="B27" s="3">
        <v>3.33</v>
      </c>
      <c r="C27" s="2">
        <v>0.75</v>
      </c>
      <c r="D27" s="3">
        <f t="shared" si="0"/>
        <v>2.4975</v>
      </c>
      <c r="E27" s="2">
        <v>1.2</v>
      </c>
      <c r="F27" s="3">
        <f t="shared" si="1"/>
        <v>2.997</v>
      </c>
      <c r="G27" s="3">
        <v>4</v>
      </c>
      <c r="H27" s="3">
        <f>I26</f>
        <v>46.7076</v>
      </c>
      <c r="I27" s="3">
        <f t="shared" si="3"/>
        <v>47.7106</v>
      </c>
      <c r="J27" s="3">
        <f t="shared" si="2"/>
        <v>35.28</v>
      </c>
      <c r="K27" s="3"/>
      <c r="L27" s="3"/>
    </row>
    <row r="28" spans="1:12" ht="14.25">
      <c r="A28" s="2">
        <v>78</v>
      </c>
      <c r="B28" s="3">
        <v>4.51</v>
      </c>
      <c r="C28" s="2">
        <v>0.85</v>
      </c>
      <c r="D28" s="3">
        <f t="shared" si="0"/>
        <v>3.8335</v>
      </c>
      <c r="E28" s="2">
        <v>1.2</v>
      </c>
      <c r="F28" s="3">
        <f t="shared" si="1"/>
        <v>4.6002</v>
      </c>
      <c r="G28" s="3">
        <v>0</v>
      </c>
      <c r="H28" s="3">
        <f>I27</f>
        <v>47.7106</v>
      </c>
      <c r="I28" s="3">
        <f t="shared" si="3"/>
        <v>43.1104</v>
      </c>
      <c r="J28" s="3">
        <f t="shared" si="2"/>
        <v>35.28</v>
      </c>
      <c r="K28" s="3"/>
      <c r="L28" s="3"/>
    </row>
    <row r="29" spans="1:13" ht="18">
      <c r="A29" s="2">
        <v>79</v>
      </c>
      <c r="B29" s="3">
        <v>5.77</v>
      </c>
      <c r="C29" s="2">
        <v>0.75</v>
      </c>
      <c r="D29" s="3">
        <f t="shared" si="0"/>
        <v>4.3275</v>
      </c>
      <c r="E29" s="2">
        <v>1.2</v>
      </c>
      <c r="F29" s="3">
        <f t="shared" si="1"/>
        <v>5.193</v>
      </c>
      <c r="G29" s="3">
        <v>0</v>
      </c>
      <c r="H29" s="3">
        <f>I28</f>
        <v>43.1104</v>
      </c>
      <c r="I29" s="6">
        <f t="shared" si="3"/>
        <v>37.9174</v>
      </c>
      <c r="J29" s="6">
        <f t="shared" si="2"/>
        <v>35.28</v>
      </c>
      <c r="K29" s="3">
        <f>B7-I29</f>
        <v>12.482599999999998</v>
      </c>
      <c r="L29" s="4">
        <f>50.4</f>
        <v>50.4</v>
      </c>
      <c r="M29" t="s">
        <v>45</v>
      </c>
    </row>
    <row r="30" spans="1:12" ht="14.25">
      <c r="A30" s="2">
        <v>80</v>
      </c>
      <c r="B30" s="3">
        <v>5.49</v>
      </c>
      <c r="C30" s="2">
        <v>0.85</v>
      </c>
      <c r="D30" s="3">
        <f t="shared" si="0"/>
        <v>4.6665</v>
      </c>
      <c r="E30" s="2">
        <v>1.2</v>
      </c>
      <c r="F30" s="3">
        <f t="shared" si="1"/>
        <v>5.5998</v>
      </c>
      <c r="G30" s="3">
        <v>0</v>
      </c>
      <c r="H30" s="5">
        <f>L29</f>
        <v>50.4</v>
      </c>
      <c r="I30" s="3">
        <f t="shared" si="3"/>
        <v>44.8002</v>
      </c>
      <c r="J30" s="3">
        <f t="shared" si="2"/>
        <v>35.28</v>
      </c>
      <c r="K30" s="3"/>
      <c r="L30" s="3"/>
    </row>
  </sheetData>
  <sheetProtection/>
  <printOptions/>
  <pageMargins left="0.17" right="0.24" top="0.984251969" bottom="0.984251969" header="0.492125985" footer="0.492125985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</cp:lastModifiedBy>
  <cp:lastPrinted>2018-05-21T09:55:32Z</cp:lastPrinted>
  <dcterms:created xsi:type="dcterms:W3CDTF">2015-05-04T08:07:29Z</dcterms:created>
  <dcterms:modified xsi:type="dcterms:W3CDTF">2019-09-10T20:35:06Z</dcterms:modified>
  <cp:category/>
  <cp:version/>
  <cp:contentType/>
  <cp:contentStatus/>
</cp:coreProperties>
</file>