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<sst xmlns="http://schemas.openxmlformats.org/spreadsheetml/2006/main" count="32" uniqueCount="25">
  <si>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</si>
  <si>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</si>
  <si>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</si>
  <si>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</si>
  <si>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</si>
  <si>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</si>
  <si>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</si>
  <si>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</si>
  <si>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</si>
  <si>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</si>
  <si>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</si>
  <si>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</si>
  <si>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</si>
  <si>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</si>
  <si>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</si>
  <si>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</si>
  <si>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</si>
  <si>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</si>
  <si>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</si>
  <si>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</si>
  <si>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(2) Dados brutos conforme download do site da estação (www.pessl.metos.at)</t>
  </si>
  <si>
    <t>(3) O NEAS não se responsabiliza pela qualidade dos dados</t>
  </si>
  <si>
    <t>(4) O uso dos dados e os produtos deles derivados são de inteira responsabildade do usuário</t>
  </si>
  <si>
    <t>(1) Planilha incompleta, com dados somente até o dia 30</t>
  </si>
  <si>
    <t>Julho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</si>
</sst>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E1">
      <selection activeCell="G1" sqref="G1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24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4" t="s">
        <v>8</v>
      </c>
      <c r="B3" s="4" t="s">
        <v>9</v>
      </c>
      <c r="C3" s="1" t="s">
        <v>10</v>
      </c>
      <c r="D3" s="20" t="s">
        <v>11</v>
      </c>
      <c r="E3" s="21"/>
      <c r="F3" s="20" t="s">
        <v>13</v>
      </c>
      <c r="G3" s="26"/>
      <c r="H3" s="21"/>
      <c r="I3" s="1" t="s">
        <v>16</v>
      </c>
      <c r="J3" s="20" t="s">
        <v>15</v>
      </c>
      <c r="K3" s="21"/>
      <c r="M3" s="14" t="s">
        <v>18</v>
      </c>
      <c r="N3" s="13"/>
    </row>
    <row r="4" spans="1:13" ht="15">
      <c r="A4" s="25"/>
      <c r="B4" s="2" t="s">
        <v>0</v>
      </c>
      <c r="C4" s="2" t="s">
        <v>1</v>
      </c>
      <c r="D4" s="22" t="s">
        <v>12</v>
      </c>
      <c r="E4" s="23"/>
      <c r="F4" s="22" t="s">
        <v>2</v>
      </c>
      <c r="G4" s="27"/>
      <c r="H4" s="23"/>
      <c r="I4" s="2" t="s">
        <v>3</v>
      </c>
      <c r="J4" s="22" t="s">
        <v>2</v>
      </c>
      <c r="K4" s="23"/>
      <c r="M4" t="s">
        <v>23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20</v>
      </c>
    </row>
    <row r="6" spans="1:13" ht="15">
      <c r="A6" s="15">
        <v>40360</v>
      </c>
      <c r="B6" s="16">
        <f>4600000/100000</f>
        <v>46</v>
      </c>
      <c r="C6" s="16">
        <f>1220000/100000</f>
        <v>12.2</v>
      </c>
      <c r="D6" s="16">
        <f>205000/100000</f>
        <v>2.05</v>
      </c>
      <c r="E6" s="16">
        <f>410000/100000</f>
        <v>4.1</v>
      </c>
      <c r="F6" s="16">
        <f>2047000/100000</f>
        <v>20.47</v>
      </c>
      <c r="G6" s="16">
        <f>1935000/100000</f>
        <v>19.35</v>
      </c>
      <c r="H6" s="16">
        <f>2237000/100000</f>
        <v>22.37</v>
      </c>
      <c r="I6" s="16">
        <f>9900000/100000</f>
        <v>99</v>
      </c>
      <c r="J6" s="16">
        <f>2013000/100000</f>
        <v>20.13</v>
      </c>
      <c r="K6" s="16">
        <f>1910000/100000</f>
        <v>19.1</v>
      </c>
      <c r="L6" s="19"/>
      <c r="M6" t="s">
        <v>21</v>
      </c>
    </row>
    <row r="7" spans="1:13" ht="15">
      <c r="A7" s="15">
        <v>40361</v>
      </c>
      <c r="B7" s="16">
        <f>4800000/100000</f>
        <v>48</v>
      </c>
      <c r="C7" s="16">
        <f>2860000/100000</f>
        <v>28.6</v>
      </c>
      <c r="D7" s="16">
        <f>224000/100000</f>
        <v>2.24</v>
      </c>
      <c r="E7" s="16">
        <f>520000/100000</f>
        <v>5.2</v>
      </c>
      <c r="F7" s="16">
        <f>2061000/100000</f>
        <v>20.61</v>
      </c>
      <c r="G7" s="16">
        <f>1935000/100000</f>
        <v>19.35</v>
      </c>
      <c r="H7" s="16">
        <f>2375000/100000</f>
        <v>23.75</v>
      </c>
      <c r="I7" s="16">
        <f>9900000/100000</f>
        <v>99</v>
      </c>
      <c r="J7" s="16">
        <f>2039000/100000</f>
        <v>20.39</v>
      </c>
      <c r="K7" s="16">
        <f>1930000/100000</f>
        <v>19.3</v>
      </c>
      <c r="L7" s="19"/>
      <c r="M7" t="s">
        <v>22</v>
      </c>
    </row>
    <row r="8" spans="1:13" ht="15">
      <c r="A8" s="15">
        <v>40362</v>
      </c>
      <c r="B8" s="16">
        <f>5900000/100000</f>
        <v>59</v>
      </c>
      <c r="C8" s="16">
        <f>1340000/100000</f>
        <v>13.4</v>
      </c>
      <c r="D8" s="16">
        <f>271000/100000</f>
        <v>2.71</v>
      </c>
      <c r="E8" s="16">
        <f>670000/100000</f>
        <v>6.7</v>
      </c>
      <c r="F8" s="16">
        <f>1995000/100000</f>
        <v>19.95</v>
      </c>
      <c r="G8" s="16">
        <f>1877000/100000</f>
        <v>18.77</v>
      </c>
      <c r="H8" s="16">
        <f>2169000/100000</f>
        <v>21.69</v>
      </c>
      <c r="I8" s="16">
        <f>9900000/100000</f>
        <v>99</v>
      </c>
      <c r="J8" s="16">
        <f>1966000/100000</f>
        <v>19.66</v>
      </c>
      <c r="K8" s="16">
        <f>1850000/100000</f>
        <v>18.5</v>
      </c>
      <c r="L8" s="19"/>
      <c r="M8" s="19"/>
    </row>
    <row r="9" spans="1:13" ht="15">
      <c r="A9" s="15">
        <v>40363</v>
      </c>
      <c r="B9" s="16">
        <f>4400000/100000</f>
        <v>44</v>
      </c>
      <c r="C9" s="16">
        <f>540000/100000</f>
        <v>5.4</v>
      </c>
      <c r="D9" s="16">
        <f>170000/100000</f>
        <v>1.7</v>
      </c>
      <c r="E9" s="16">
        <f>620000/100000</f>
        <v>6.2</v>
      </c>
      <c r="F9" s="16">
        <f>2097000/100000</f>
        <v>20.97</v>
      </c>
      <c r="G9" s="16">
        <f>1943000/100000</f>
        <v>19.43</v>
      </c>
      <c r="H9" s="16">
        <f>2450000/100000</f>
        <v>24.5</v>
      </c>
      <c r="I9" s="16">
        <f>9300000/100000</f>
        <v>93</v>
      </c>
      <c r="J9" s="16">
        <f>1955000/100000</f>
        <v>19.55</v>
      </c>
      <c r="K9" s="16">
        <f>1860000/100000</f>
        <v>18.6</v>
      </c>
      <c r="L9" s="19"/>
      <c r="M9" s="19"/>
    </row>
    <row r="10" spans="1:13" ht="15">
      <c r="A10" s="15">
        <v>40364</v>
      </c>
      <c r="B10" s="16">
        <f>4200000/100000</f>
        <v>42</v>
      </c>
      <c r="C10" s="16">
        <f>300000/100000</f>
        <v>3</v>
      </c>
      <c r="D10" s="16">
        <f>218000/100000</f>
        <v>2.18</v>
      </c>
      <c r="E10" s="16">
        <f>540000/100000</f>
        <v>5.4</v>
      </c>
      <c r="F10" s="16">
        <f>2140000/100000</f>
        <v>21.4</v>
      </c>
      <c r="G10" s="16">
        <f>1887000/100000</f>
        <v>18.87</v>
      </c>
      <c r="H10" s="16">
        <f>2576000/100000</f>
        <v>25.76</v>
      </c>
      <c r="I10" s="16">
        <f>9200000/100000</f>
        <v>92</v>
      </c>
      <c r="J10" s="16">
        <f>1970000/100000</f>
        <v>19.7</v>
      </c>
      <c r="K10" s="16">
        <f>1860000/100000</f>
        <v>18.6</v>
      </c>
      <c r="L10" s="19"/>
      <c r="M10" s="19"/>
    </row>
    <row r="11" spans="1:13" ht="15">
      <c r="A11" s="15">
        <v>40365</v>
      </c>
      <c r="B11" s="16">
        <f>4800000/100000</f>
        <v>48</v>
      </c>
      <c r="C11" s="16">
        <f>940000/100000</f>
        <v>9.4</v>
      </c>
      <c r="D11" s="16">
        <f>261000/100000</f>
        <v>2.61</v>
      </c>
      <c r="E11" s="16">
        <f>880000/100000</f>
        <v>8.8</v>
      </c>
      <c r="F11" s="16">
        <f>2105000/100000</f>
        <v>21.05</v>
      </c>
      <c r="G11" s="16">
        <f>1867000/100000</f>
        <v>18.67</v>
      </c>
      <c r="H11" s="16">
        <f>2541000/100000</f>
        <v>25.41</v>
      </c>
      <c r="I11" s="16">
        <f>8900000/100000</f>
        <v>89</v>
      </c>
      <c r="J11" s="16">
        <f>1872000/100000</f>
        <v>18.72</v>
      </c>
      <c r="K11" s="16">
        <f>1610000/100000</f>
        <v>16.1</v>
      </c>
      <c r="L11" s="19"/>
      <c r="M11" s="19"/>
    </row>
    <row r="12" spans="1:13" ht="15">
      <c r="A12" s="15">
        <v>40366</v>
      </c>
      <c r="B12" s="16">
        <f>5700000/100000</f>
        <v>57</v>
      </c>
      <c r="C12" s="16">
        <f>200000/100000</f>
        <v>2</v>
      </c>
      <c r="D12" s="16">
        <f>175000/100000</f>
        <v>1.75</v>
      </c>
      <c r="E12" s="16">
        <f>470000/100000</f>
        <v>4.7</v>
      </c>
      <c r="F12" s="16">
        <f>2061000/100000</f>
        <v>20.61</v>
      </c>
      <c r="G12" s="16">
        <f>1820000/100000</f>
        <v>18.2</v>
      </c>
      <c r="H12" s="16">
        <f>2492000/100000</f>
        <v>24.92</v>
      </c>
      <c r="I12" s="16">
        <f>9300000/100000</f>
        <v>93</v>
      </c>
      <c r="J12" s="16">
        <f>1928000/100000</f>
        <v>19.28</v>
      </c>
      <c r="K12" s="16">
        <f>1800000/100000</f>
        <v>18</v>
      </c>
      <c r="L12" s="19"/>
      <c r="M12" s="19"/>
    </row>
    <row r="13" spans="1:13" ht="15">
      <c r="A13" s="15">
        <v>40367</v>
      </c>
      <c r="B13" s="16">
        <f>5400000/100000</f>
        <v>54</v>
      </c>
      <c r="C13" s="16">
        <f>140000/100000</f>
        <v>1.4</v>
      </c>
      <c r="D13" s="16">
        <f>90000/100000</f>
        <v>0.9</v>
      </c>
      <c r="E13" s="16">
        <f>350000/100000</f>
        <v>3.5</v>
      </c>
      <c r="F13" s="16">
        <f>2109000/100000</f>
        <v>21.09</v>
      </c>
      <c r="G13" s="16">
        <f>1829000/100000</f>
        <v>18.29</v>
      </c>
      <c r="H13" s="16">
        <f>2585000/100000</f>
        <v>25.85</v>
      </c>
      <c r="I13" s="16">
        <f>9500000/100000</f>
        <v>95</v>
      </c>
      <c r="J13" s="16">
        <f>2004000/100000</f>
        <v>20.04</v>
      </c>
      <c r="K13" s="16">
        <f>1820000/100000</f>
        <v>18.2</v>
      </c>
      <c r="L13" s="19"/>
      <c r="M13" s="19"/>
    </row>
    <row r="14" spans="1:13" ht="15">
      <c r="A14" s="15">
        <v>40368</v>
      </c>
      <c r="B14" s="16">
        <f>3600000/100000</f>
        <v>36</v>
      </c>
      <c r="C14" s="16">
        <f>80000/100000</f>
        <v>0.8</v>
      </c>
      <c r="D14" s="16">
        <f>142000/100000</f>
        <v>1.42</v>
      </c>
      <c r="E14" s="16">
        <f>400000/100000</f>
        <v>4</v>
      </c>
      <c r="F14" s="16">
        <f>2224000/100000</f>
        <v>22.24</v>
      </c>
      <c r="G14" s="16">
        <f>2010000/100000</f>
        <v>20.1</v>
      </c>
      <c r="H14" s="16">
        <f>2654000/100000</f>
        <v>26.54</v>
      </c>
      <c r="I14" s="16">
        <f>9400000/100000</f>
        <v>94</v>
      </c>
      <c r="J14" s="16">
        <f>2107000/100000</f>
        <v>21.07</v>
      </c>
      <c r="K14" s="16">
        <f>2010000/100000</f>
        <v>20.1</v>
      </c>
      <c r="L14" s="19"/>
      <c r="M14" s="19"/>
    </row>
    <row r="15" spans="1:13" ht="15">
      <c r="A15" s="15">
        <v>40369</v>
      </c>
      <c r="B15" s="16">
        <f>4600000/100000</f>
        <v>46</v>
      </c>
      <c r="C15" s="16">
        <f>120000/100000</f>
        <v>1.2</v>
      </c>
      <c r="D15" s="16">
        <f>95000/100000</f>
        <v>0.95</v>
      </c>
      <c r="E15" s="16">
        <f>350000/100000</f>
        <v>3.5</v>
      </c>
      <c r="F15" s="16">
        <f>2215000/100000</f>
        <v>22.15</v>
      </c>
      <c r="G15" s="16">
        <f>1994000/100000</f>
        <v>19.94</v>
      </c>
      <c r="H15" s="16">
        <f>2660000/100000</f>
        <v>26.6</v>
      </c>
      <c r="I15" s="16">
        <f>9300000/100000</f>
        <v>93</v>
      </c>
      <c r="J15" s="16">
        <f>2066000/100000</f>
        <v>20.66</v>
      </c>
      <c r="K15" s="16">
        <f>1970000/100000</f>
        <v>19.7</v>
      </c>
      <c r="L15" s="19"/>
      <c r="M15" s="19"/>
    </row>
    <row r="16" spans="1:13" ht="15">
      <c r="A16" s="15">
        <v>40370</v>
      </c>
      <c r="B16" s="16">
        <f>5400000/100000</f>
        <v>54</v>
      </c>
      <c r="C16" s="16">
        <f>1040000/100000</f>
        <v>10.4</v>
      </c>
      <c r="D16" s="16">
        <f>110000/100000</f>
        <v>1.1</v>
      </c>
      <c r="E16" s="16">
        <f>350000/100000</f>
        <v>3.5</v>
      </c>
      <c r="F16" s="16">
        <f>2198000/100000</f>
        <v>21.98</v>
      </c>
      <c r="G16" s="16">
        <f>1848000/100000</f>
        <v>18.48</v>
      </c>
      <c r="H16" s="16">
        <f>2674000/100000</f>
        <v>26.74</v>
      </c>
      <c r="I16" s="16">
        <f>9000000/100000</f>
        <v>90</v>
      </c>
      <c r="J16" s="16">
        <f>1991000/100000</f>
        <v>19.91</v>
      </c>
      <c r="K16" s="16">
        <f>1840000/100000</f>
        <v>18.4</v>
      </c>
      <c r="L16" s="19"/>
      <c r="M16" s="19"/>
    </row>
    <row r="17" spans="1:13" ht="15">
      <c r="A17" s="15">
        <v>40371</v>
      </c>
      <c r="B17" s="16">
        <f>4600000/100000</f>
        <v>46</v>
      </c>
      <c r="C17" s="16">
        <f>60000/100000</f>
        <v>0.6</v>
      </c>
      <c r="D17" s="16">
        <f>151000/100000</f>
        <v>1.51</v>
      </c>
      <c r="E17" s="16">
        <f>440000/100000</f>
        <v>4.4</v>
      </c>
      <c r="F17" s="16">
        <f>2183000/100000</f>
        <v>21.83</v>
      </c>
      <c r="G17" s="16">
        <f>1847000/100000</f>
        <v>18.47</v>
      </c>
      <c r="H17" s="16">
        <f>2619000/100000</f>
        <v>26.19</v>
      </c>
      <c r="I17" s="16">
        <f>9100000/100000</f>
        <v>91</v>
      </c>
      <c r="J17" s="16">
        <f>1996000/100000</f>
        <v>19.96</v>
      </c>
      <c r="K17" s="16">
        <f>1820000/100000</f>
        <v>18.2</v>
      </c>
      <c r="L17" s="19"/>
      <c r="M17" s="19"/>
    </row>
    <row r="18" spans="1:13" ht="15">
      <c r="A18" s="15">
        <v>40372</v>
      </c>
      <c r="B18" s="16">
        <f>4000000/100000</f>
        <v>40</v>
      </c>
      <c r="C18" s="16">
        <f>880000/100000</f>
        <v>8.8</v>
      </c>
      <c r="D18" s="16">
        <f>113000/100000</f>
        <v>1.13</v>
      </c>
      <c r="E18" s="16">
        <f>440000/100000</f>
        <v>4.4</v>
      </c>
      <c r="F18" s="16">
        <f>2219000/100000</f>
        <v>22.19</v>
      </c>
      <c r="G18" s="16">
        <f>2052000/100000</f>
        <v>20.52</v>
      </c>
      <c r="H18" s="16">
        <f>2548000/100000</f>
        <v>25.48</v>
      </c>
      <c r="I18" s="16">
        <f>9700000/100000</f>
        <v>97</v>
      </c>
      <c r="J18" s="16">
        <f>2162000/100000</f>
        <v>21.62</v>
      </c>
      <c r="K18" s="16">
        <f>2050000/100000</f>
        <v>20.5</v>
      </c>
      <c r="L18" s="19"/>
      <c r="M18" s="19"/>
    </row>
    <row r="19" spans="1:13" ht="15">
      <c r="A19" s="15">
        <v>40373</v>
      </c>
      <c r="B19" s="16">
        <f>4400000/100000</f>
        <v>44</v>
      </c>
      <c r="C19" s="16">
        <f>1140000/100000</f>
        <v>11.4</v>
      </c>
      <c r="D19" s="16">
        <f>72000/100000</f>
        <v>0.72</v>
      </c>
      <c r="E19" s="16">
        <f>330000/100000</f>
        <v>3.3</v>
      </c>
      <c r="F19" s="16">
        <f>2228000/100000</f>
        <v>22.28</v>
      </c>
      <c r="G19" s="16">
        <f>2031000/100000</f>
        <v>20.31</v>
      </c>
      <c r="H19" s="16">
        <f>2650000/100000</f>
        <v>26.5</v>
      </c>
      <c r="I19" s="16">
        <f>9600000/100000</f>
        <v>96</v>
      </c>
      <c r="J19" s="16">
        <f>2151000/100000</f>
        <v>21.51</v>
      </c>
      <c r="K19" s="16">
        <f>2030000/100000</f>
        <v>20.3</v>
      </c>
      <c r="L19" s="19"/>
      <c r="M19" s="19"/>
    </row>
    <row r="20" spans="1:13" ht="15">
      <c r="A20" s="15">
        <v>40374</v>
      </c>
      <c r="B20" s="16">
        <f>5500000/100000</f>
        <v>55</v>
      </c>
      <c r="C20" s="16">
        <f>420000/100000</f>
        <v>4.2</v>
      </c>
      <c r="D20" s="16">
        <f>210000/100000</f>
        <v>2.1</v>
      </c>
      <c r="E20" s="16">
        <f>610000/100000</f>
        <v>6.1</v>
      </c>
      <c r="F20" s="16">
        <f>2236000/100000</f>
        <v>22.36</v>
      </c>
      <c r="G20" s="16">
        <f>1986000/100000</f>
        <v>19.86</v>
      </c>
      <c r="H20" s="16">
        <f>2664000/100000</f>
        <v>26.64</v>
      </c>
      <c r="I20" s="16">
        <f>9000000/100000</f>
        <v>90</v>
      </c>
      <c r="J20" s="16">
        <f>2024000/100000</f>
        <v>20.24</v>
      </c>
      <c r="K20" s="16">
        <f>1690000/100000</f>
        <v>16.9</v>
      </c>
      <c r="L20" s="19"/>
      <c r="M20" s="19"/>
    </row>
    <row r="21" spans="1:13" ht="15">
      <c r="A21" s="15">
        <v>40375</v>
      </c>
      <c r="B21" s="16">
        <f>4100000/100000</f>
        <v>41</v>
      </c>
      <c r="C21" s="16">
        <f>3300000/100000</f>
        <v>33</v>
      </c>
      <c r="D21" s="16">
        <f>121000/100000</f>
        <v>1.21</v>
      </c>
      <c r="E21" s="16">
        <f>440000/100000</f>
        <v>4.4</v>
      </c>
      <c r="F21" s="16">
        <f>2213000/100000</f>
        <v>22.13</v>
      </c>
      <c r="G21" s="16">
        <f>2073000/100000</f>
        <v>20.73</v>
      </c>
      <c r="H21" s="16">
        <f>2604000/100000</f>
        <v>26.04</v>
      </c>
      <c r="I21" s="16">
        <f>9800000/100000</f>
        <v>98</v>
      </c>
      <c r="J21" s="16">
        <f>2164000/100000</f>
        <v>21.64</v>
      </c>
      <c r="K21" s="16">
        <f>2070000/100000</f>
        <v>20.7</v>
      </c>
      <c r="L21" s="19"/>
      <c r="M21" s="19"/>
    </row>
    <row r="22" spans="1:13" ht="15">
      <c r="A22" s="15">
        <v>40376</v>
      </c>
      <c r="B22" s="16">
        <f>4600000/100000</f>
        <v>46</v>
      </c>
      <c r="C22" s="16">
        <f>2580000/100000</f>
        <v>25.8</v>
      </c>
      <c r="D22" s="16">
        <f>185000/100000</f>
        <v>1.85</v>
      </c>
      <c r="E22" s="16">
        <f>610000/100000</f>
        <v>6.1</v>
      </c>
      <c r="F22" s="16">
        <f>2170000/100000</f>
        <v>21.7</v>
      </c>
      <c r="G22" s="16">
        <f>2014000/100000</f>
        <v>20.14</v>
      </c>
      <c r="H22" s="16">
        <f>2507000/100000</f>
        <v>25.07</v>
      </c>
      <c r="I22" s="16">
        <f>9700000/100000</f>
        <v>97</v>
      </c>
      <c r="J22" s="16">
        <f>2103000/100000</f>
        <v>21.03</v>
      </c>
      <c r="K22" s="16">
        <f>2000000/100000</f>
        <v>20</v>
      </c>
      <c r="L22" s="19"/>
      <c r="M22" s="19"/>
    </row>
    <row r="23" spans="1:13" ht="15">
      <c r="A23" s="15">
        <v>40377</v>
      </c>
      <c r="B23" s="16">
        <f>4300000/100000</f>
        <v>43</v>
      </c>
      <c r="C23" s="16">
        <f>840000/100000</f>
        <v>8.4</v>
      </c>
      <c r="D23" s="16">
        <f>242000/100000</f>
        <v>2.42</v>
      </c>
      <c r="E23" s="16">
        <f>560000/100000</f>
        <v>5.6</v>
      </c>
      <c r="F23" s="16">
        <f>2082000/100000</f>
        <v>20.82</v>
      </c>
      <c r="G23" s="16">
        <f>1815000/100000</f>
        <v>18.15</v>
      </c>
      <c r="H23" s="16">
        <f>2348000/100000</f>
        <v>23.48</v>
      </c>
      <c r="I23" s="16">
        <f>9400000/100000</f>
        <v>94</v>
      </c>
      <c r="J23" s="16">
        <f>1970000/100000</f>
        <v>19.7</v>
      </c>
      <c r="K23" s="16">
        <f>1770000/100000</f>
        <v>17.7</v>
      </c>
      <c r="L23" s="19"/>
      <c r="M23" s="19"/>
    </row>
    <row r="24" spans="1:13" ht="15">
      <c r="A24" s="15">
        <v>40378</v>
      </c>
      <c r="B24" s="16">
        <f>6200000/100000</f>
        <v>62</v>
      </c>
      <c r="C24" s="16">
        <f>1060000/100000</f>
        <v>10.6</v>
      </c>
      <c r="D24" s="16">
        <f>194000/100000</f>
        <v>1.94</v>
      </c>
      <c r="E24" s="16">
        <f>590000/100000</f>
        <v>5.9</v>
      </c>
      <c r="F24" s="16">
        <f>1998000/100000</f>
        <v>19.98</v>
      </c>
      <c r="G24" s="16">
        <f>1749000/100000</f>
        <v>17.49</v>
      </c>
      <c r="H24" s="16">
        <f>2469000/100000</f>
        <v>24.69</v>
      </c>
      <c r="I24" s="16">
        <f>9800000/100000</f>
        <v>98</v>
      </c>
      <c r="J24" s="16">
        <f>1942000/100000</f>
        <v>19.42</v>
      </c>
      <c r="K24" s="16">
        <f>1740000/100000</f>
        <v>17.4</v>
      </c>
      <c r="L24" s="19"/>
      <c r="M24" s="19"/>
    </row>
    <row r="25" spans="1:13" ht="15">
      <c r="A25" s="15">
        <v>40379</v>
      </c>
      <c r="B25" s="16">
        <f>3000000/100000</f>
        <v>30</v>
      </c>
      <c r="C25" s="16">
        <f>20000/100000</f>
        <v>0.2</v>
      </c>
      <c r="D25" s="16">
        <f>265000/100000</f>
        <v>2.65</v>
      </c>
      <c r="E25" s="16">
        <f>800000/100000</f>
        <v>8</v>
      </c>
      <c r="F25" s="16">
        <f>2040000/100000</f>
        <v>20.4</v>
      </c>
      <c r="G25" s="16">
        <f>1840000/100000</f>
        <v>18.4</v>
      </c>
      <c r="H25" s="16">
        <f>2391000/100000</f>
        <v>23.91</v>
      </c>
      <c r="I25" s="16">
        <f>9200000/100000</f>
        <v>92</v>
      </c>
      <c r="J25" s="16">
        <f>1887000/100000</f>
        <v>18.87</v>
      </c>
      <c r="K25" s="16">
        <f>1760000/100000</f>
        <v>17.6</v>
      </c>
      <c r="L25" s="19"/>
      <c r="M25" s="19"/>
    </row>
    <row r="26" spans="1:13" ht="15">
      <c r="A26" s="15">
        <v>40380</v>
      </c>
      <c r="B26" s="16">
        <f>5100000/100000</f>
        <v>51</v>
      </c>
      <c r="C26" s="16">
        <f>40000/100000</f>
        <v>0.4</v>
      </c>
      <c r="D26" s="16">
        <f>219000/100000</f>
        <v>2.19</v>
      </c>
      <c r="E26" s="16">
        <f>590000/100000</f>
        <v>5.9</v>
      </c>
      <c r="F26" s="16">
        <f>2032000/100000</f>
        <v>20.32</v>
      </c>
      <c r="G26" s="16">
        <f>1808000/100000</f>
        <v>18.08</v>
      </c>
      <c r="H26" s="16">
        <f>2485000/100000</f>
        <v>24.85</v>
      </c>
      <c r="I26" s="16">
        <f>8900000/100000</f>
        <v>89</v>
      </c>
      <c r="J26" s="16">
        <f>1818000/100000</f>
        <v>18.18</v>
      </c>
      <c r="K26" s="16">
        <f>1680000/100000</f>
        <v>16.8</v>
      </c>
      <c r="L26" s="19"/>
      <c r="M26" s="19"/>
    </row>
    <row r="27" spans="1:13" ht="15">
      <c r="A27" s="15">
        <v>40381</v>
      </c>
      <c r="B27" s="16">
        <f>5400000/100000</f>
        <v>54</v>
      </c>
      <c r="C27" s="16">
        <f>340000/100000</f>
        <v>3.4</v>
      </c>
      <c r="D27" s="16">
        <f>134000/100000</f>
        <v>1.34</v>
      </c>
      <c r="E27" s="16">
        <f>540000/100000</f>
        <v>5.4</v>
      </c>
      <c r="F27" s="16">
        <f>2053000/100000</f>
        <v>20.53</v>
      </c>
      <c r="G27" s="16">
        <f>1803000/100000</f>
        <v>18.03</v>
      </c>
      <c r="H27" s="16">
        <f>2455000/100000</f>
        <v>24.55</v>
      </c>
      <c r="I27" s="16">
        <f>9300000/100000</f>
        <v>93</v>
      </c>
      <c r="J27" s="16">
        <f>1906000/100000</f>
        <v>19.06</v>
      </c>
      <c r="K27" s="16">
        <f>1670000/100000</f>
        <v>16.7</v>
      </c>
      <c r="L27" s="19"/>
      <c r="M27" s="19"/>
    </row>
    <row r="28" spans="1:13" ht="15">
      <c r="A28" s="15">
        <v>40382</v>
      </c>
      <c r="B28" s="16">
        <f>4700000/100000</f>
        <v>47</v>
      </c>
      <c r="C28" s="16">
        <f>800000/100000</f>
        <v>8</v>
      </c>
      <c r="D28" s="16">
        <f>190000/100000</f>
        <v>1.9</v>
      </c>
      <c r="E28" s="16">
        <f>500000/100000</f>
        <v>5</v>
      </c>
      <c r="F28" s="16">
        <f>2116000/100000</f>
        <v>21.16</v>
      </c>
      <c r="G28" s="16">
        <f>1834000/100000</f>
        <v>18.34</v>
      </c>
      <c r="H28" s="16">
        <f>2608000/100000</f>
        <v>26.08</v>
      </c>
      <c r="I28" s="16">
        <f>9000000/100000</f>
        <v>90</v>
      </c>
      <c r="J28" s="16">
        <f>1912000/100000</f>
        <v>19.12</v>
      </c>
      <c r="K28" s="16">
        <f>1810000/100000</f>
        <v>18.1</v>
      </c>
      <c r="L28" s="19"/>
      <c r="M28" s="19"/>
    </row>
    <row r="29" spans="1:13" ht="15">
      <c r="A29" s="15">
        <v>40383</v>
      </c>
      <c r="B29" s="16">
        <f>5600000/100000</f>
        <v>56</v>
      </c>
      <c r="C29" s="16">
        <f>1820000/100000</f>
        <v>18.2</v>
      </c>
      <c r="D29" s="16">
        <f>209000/100000</f>
        <v>2.09</v>
      </c>
      <c r="E29" s="16">
        <f>770000/100000</f>
        <v>7.7</v>
      </c>
      <c r="F29" s="16">
        <f>1993000/100000</f>
        <v>19.93</v>
      </c>
      <c r="G29" s="16">
        <f>1872000/100000</f>
        <v>18.72</v>
      </c>
      <c r="H29" s="16">
        <f>2339000/100000</f>
        <v>23.39</v>
      </c>
      <c r="I29" s="16">
        <f>9800000/100000</f>
        <v>98</v>
      </c>
      <c r="J29" s="16">
        <f>1942000/100000</f>
        <v>19.42</v>
      </c>
      <c r="K29" s="16">
        <f>1850000/100000</f>
        <v>18.5</v>
      </c>
      <c r="L29" s="19"/>
      <c r="M29" s="19"/>
    </row>
    <row r="30" spans="1:13" ht="15">
      <c r="A30" s="15">
        <v>40384</v>
      </c>
      <c r="B30" s="16">
        <f>5400000/100000</f>
        <v>54</v>
      </c>
      <c r="C30" s="16">
        <f>400000/100000</f>
        <v>4</v>
      </c>
      <c r="D30" s="16">
        <f>133000/100000</f>
        <v>1.33</v>
      </c>
      <c r="E30" s="16">
        <f>420000/100000</f>
        <v>4.2</v>
      </c>
      <c r="F30" s="16">
        <f>2099000/100000</f>
        <v>20.99</v>
      </c>
      <c r="G30" s="16">
        <f>1808000/100000</f>
        <v>18.08</v>
      </c>
      <c r="H30" s="16">
        <f>2590000/100000</f>
        <v>25.9</v>
      </c>
      <c r="I30" s="16">
        <f>9300000/100000</f>
        <v>93</v>
      </c>
      <c r="J30" s="16">
        <f>1953000/100000</f>
        <v>19.53</v>
      </c>
      <c r="K30" s="16">
        <f>1800000/100000</f>
        <v>18</v>
      </c>
      <c r="L30" s="19"/>
      <c r="M30" s="19"/>
    </row>
    <row r="31" spans="1:13" ht="15">
      <c r="A31" s="15">
        <v>40385</v>
      </c>
      <c r="B31" s="16">
        <f>5600000/100000</f>
        <v>56</v>
      </c>
      <c r="C31" s="16">
        <f>980000/100000</f>
        <v>9.8</v>
      </c>
      <c r="D31" s="16">
        <f>178000/100000</f>
        <v>1.78</v>
      </c>
      <c r="E31" s="16">
        <f>420000/100000</f>
        <v>4.2</v>
      </c>
      <c r="F31" s="16">
        <f>2105000/100000</f>
        <v>21.05</v>
      </c>
      <c r="G31" s="16">
        <f>1969000/100000</f>
        <v>19.69</v>
      </c>
      <c r="H31" s="16">
        <f>2465000/100000</f>
        <v>24.65</v>
      </c>
      <c r="I31" s="16">
        <f>9500000/100000</f>
        <v>95</v>
      </c>
      <c r="J31" s="16">
        <f>2010000/100000</f>
        <v>20.1</v>
      </c>
      <c r="K31" s="16">
        <f>1910000/100000</f>
        <v>19.1</v>
      </c>
      <c r="L31" s="19"/>
      <c r="M31" s="19"/>
    </row>
    <row r="32" spans="1:13" ht="15">
      <c r="A32" s="15">
        <v>40386</v>
      </c>
      <c r="B32" s="16">
        <f>5100000/100000</f>
        <v>51</v>
      </c>
      <c r="C32" s="16">
        <f>240000/100000</f>
        <v>2.4</v>
      </c>
      <c r="D32" s="16">
        <f>144000/100000</f>
        <v>1.44</v>
      </c>
      <c r="E32" s="16">
        <f>480000/100000</f>
        <v>4.8</v>
      </c>
      <c r="F32" s="16">
        <f>2130000/100000</f>
        <v>21.3</v>
      </c>
      <c r="G32" s="16">
        <f>1946000/100000</f>
        <v>19.46</v>
      </c>
      <c r="H32" s="16">
        <f>2516000/100000</f>
        <v>25.16</v>
      </c>
      <c r="I32" s="16">
        <f>9400000/100000</f>
        <v>94</v>
      </c>
      <c r="J32" s="16">
        <f>1999000/100000</f>
        <v>19.99</v>
      </c>
      <c r="K32" s="16">
        <f>1890000/100000</f>
        <v>18.9</v>
      </c>
      <c r="L32" s="19"/>
      <c r="M32" s="19"/>
    </row>
    <row r="33" spans="1:13" ht="15">
      <c r="A33" s="15">
        <v>40387</v>
      </c>
      <c r="B33" s="16">
        <f>6100000/100000</f>
        <v>61</v>
      </c>
      <c r="C33" s="16">
        <f>740000/100000</f>
        <v>7.4</v>
      </c>
      <c r="D33" s="16">
        <f>219000/100000</f>
        <v>2.19</v>
      </c>
      <c r="E33" s="16">
        <f>540000/100000</f>
        <v>5.4</v>
      </c>
      <c r="F33" s="16">
        <f>2216000/100000</f>
        <v>22.16</v>
      </c>
      <c r="G33" s="16">
        <f>1929000/100000</f>
        <v>19.29</v>
      </c>
      <c r="H33" s="16">
        <f>2635000/100000</f>
        <v>26.35</v>
      </c>
      <c r="I33" s="16">
        <f>8800000/100000</f>
        <v>88</v>
      </c>
      <c r="J33" s="16">
        <f>1962000/100000</f>
        <v>19.62</v>
      </c>
      <c r="K33" s="16">
        <f>1760000/100000</f>
        <v>17.6</v>
      </c>
      <c r="L33" s="19"/>
      <c r="M33" s="19"/>
    </row>
    <row r="34" spans="1:13" ht="15">
      <c r="A34" s="15">
        <v>40388</v>
      </c>
      <c r="B34" s="16">
        <f>5700000/100000</f>
        <v>57</v>
      </c>
      <c r="C34" s="16">
        <f>20000/100000</f>
        <v>0.2</v>
      </c>
      <c r="D34" s="16">
        <f>224000/100000</f>
        <v>2.24</v>
      </c>
      <c r="E34" s="16">
        <f>530000/100000</f>
        <v>5.3</v>
      </c>
      <c r="F34" s="16">
        <f>2151000/100000</f>
        <v>21.51</v>
      </c>
      <c r="G34" s="16">
        <f>1810000/100000</f>
        <v>18.1</v>
      </c>
      <c r="H34" s="16">
        <f>2590000/100000</f>
        <v>25.9</v>
      </c>
      <c r="I34" s="16">
        <f>8000000/100000</f>
        <v>80</v>
      </c>
      <c r="J34" s="16">
        <f>1748000/100000</f>
        <v>17.48</v>
      </c>
      <c r="K34" s="16">
        <f>1410000/100000</f>
        <v>14.1</v>
      </c>
      <c r="L34" s="19"/>
      <c r="M34" s="19"/>
    </row>
    <row r="35" spans="1:13" ht="15">
      <c r="A35" s="15">
        <v>40389</v>
      </c>
      <c r="B35" s="16">
        <f>5000000/100000</f>
        <v>50</v>
      </c>
      <c r="C35" s="16">
        <f>20000/100000</f>
        <v>0.2</v>
      </c>
      <c r="D35" s="16">
        <f>159000/100000</f>
        <v>1.59</v>
      </c>
      <c r="E35" s="16">
        <f>610000/100000</f>
        <v>6.1</v>
      </c>
      <c r="F35" s="16">
        <f>2024000/100000</f>
        <v>20.24</v>
      </c>
      <c r="G35" s="16">
        <f>1809000/100000</f>
        <v>18.09</v>
      </c>
      <c r="H35" s="16">
        <f>2475000/100000</f>
        <v>24.75</v>
      </c>
      <c r="I35" s="16">
        <f>9500000/100000</f>
        <v>95</v>
      </c>
      <c r="J35" s="16">
        <f>1924000/100000</f>
        <v>19.24</v>
      </c>
      <c r="K35" s="16">
        <f>1690000/100000</f>
        <v>16.9</v>
      </c>
      <c r="L35" s="19"/>
      <c r="M35" s="19"/>
    </row>
    <row r="36" spans="1:11" ht="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2011-09-07T15:59:54Z</dcterms:modified>
  <cp:category/>
  <cp:version/>
  <cp:contentType/>
  <cp:contentStatus/>
</cp:coreProperties>
</file>